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5" windowHeight="12330" tabRatio="962" activeTab="3"/>
  </bookViews>
  <sheets>
    <sheet name="Übersicht" sheetId="8" r:id="rId1"/>
    <sheet name="I. techn. Bewertung" sheetId="7" r:id="rId2"/>
    <sheet name="II. wirtschaftliche Bewertung" sheetId="6" r:id="rId3"/>
    <sheet name="III. Domainbewertung" sheetId="1" r:id="rId4"/>
    <sheet name="III. Beispiele zu F.8" sheetId="2" r:id="rId5"/>
    <sheet name="III. Wertberechnung" sheetId="4" r:id="rId6"/>
    <sheet name="a. User-Fkt." sheetId="10" r:id="rId7"/>
    <sheet name="a. onpage-Fkt." sheetId="15" r:id="rId8"/>
    <sheet name="a. Backlinks-Fkt." sheetId="16" r:id="rId9"/>
    <sheet name="a. Alter-Fkt." sheetId="19" r:id="rId10"/>
    <sheet name="CC Value-Fkt." sheetId="18" r:id="rId11"/>
    <sheet name="c. User-Rot.-Fkt." sheetId="13" state="hidden" r:id="rId12"/>
    <sheet name="b. User-Umsatz-Fkt." sheetId="12" state="hidden" r:id="rId13"/>
    <sheet name="Sistrix-Fkt." sheetId="17" state="hidden" r:id="rId14"/>
  </sheets>
  <calcPr calcId="125725" iterate="1"/>
</workbook>
</file>

<file path=xl/calcChain.xml><?xml version="1.0" encoding="utf-8"?>
<calcChain xmlns="http://schemas.openxmlformats.org/spreadsheetml/2006/main">
  <c r="A1" i="19"/>
  <c r="A1" i="16"/>
  <c r="A1" i="15"/>
  <c r="A1" i="10"/>
  <c r="B75" i="6"/>
  <c r="B12" i="10" l="1"/>
  <c r="D11" i="7" s="1"/>
  <c r="C50"/>
  <c r="B12" i="19" s="1"/>
  <c r="D10"/>
  <c r="D9"/>
  <c r="B10" i="15"/>
  <c r="B12" s="1"/>
  <c r="E37" i="7" s="1"/>
  <c r="A1" i="18"/>
  <c r="A1" i="13"/>
  <c r="A1" i="12"/>
  <c r="A1" i="17"/>
  <c r="B12"/>
  <c r="D56" i="7" s="1"/>
  <c r="F56" s="1"/>
  <c r="B20" i="16"/>
  <c r="D44" i="7" s="1"/>
  <c r="B18" i="16"/>
  <c r="D43" i="7" s="1"/>
  <c r="B16" i="16"/>
  <c r="D42" i="7" s="1"/>
  <c r="B14" i="16"/>
  <c r="D41" i="7" s="1"/>
  <c r="B16" i="10"/>
  <c r="D13" i="7" s="1"/>
  <c r="B14" i="10"/>
  <c r="D12" i="7" s="1"/>
  <c r="F18"/>
  <c r="D10" i="12"/>
  <c r="D9"/>
  <c r="D83" i="16"/>
  <c r="D82"/>
  <c r="D55"/>
  <c r="D56"/>
  <c r="D35"/>
  <c r="D34"/>
  <c r="D9"/>
  <c r="D8"/>
  <c r="D27" i="7"/>
  <c r="D25"/>
  <c r="D23"/>
  <c r="D9" i="15"/>
  <c r="D8"/>
  <c r="D71"/>
  <c r="D50"/>
  <c r="D9" i="18"/>
  <c r="D8"/>
  <c r="D31" i="10"/>
  <c r="D30"/>
  <c r="D9" i="17"/>
  <c r="D8"/>
  <c r="D74" i="15"/>
  <c r="D73"/>
  <c r="D53"/>
  <c r="D52"/>
  <c r="D57" i="13"/>
  <c r="D56"/>
  <c r="D35"/>
  <c r="D34"/>
  <c r="D9"/>
  <c r="D8"/>
  <c r="D9" i="10"/>
  <c r="D8"/>
  <c r="C10" i="7"/>
  <c r="C21"/>
  <c r="C40"/>
  <c r="B70" i="6"/>
  <c r="C62"/>
  <c r="D64" s="1"/>
  <c r="C43"/>
  <c r="C37"/>
  <c r="B14"/>
  <c r="C9"/>
  <c r="E63" i="1"/>
  <c r="E62"/>
  <c r="E61"/>
  <c r="E60"/>
  <c r="E59"/>
  <c r="C7"/>
  <c r="E7"/>
  <c r="C2" i="4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E50" i="1"/>
  <c r="E49"/>
  <c r="E48"/>
  <c r="E47"/>
  <c r="E10"/>
  <c r="E11"/>
  <c r="E12"/>
  <c r="E14"/>
  <c r="E17"/>
  <c r="E16"/>
  <c r="E18"/>
  <c r="E25"/>
  <c r="E24"/>
  <c r="E26"/>
  <c r="E28"/>
  <c r="E30"/>
  <c r="E31"/>
  <c r="E29"/>
  <c r="E37"/>
  <c r="E36"/>
  <c r="E35"/>
  <c r="E38"/>
  <c r="E39"/>
  <c r="E42"/>
  <c r="E44"/>
  <c r="E43"/>
  <c r="E41"/>
  <c r="E40"/>
  <c r="E27"/>
  <c r="E64"/>
  <c r="C69" s="1"/>
  <c r="E53"/>
  <c r="C68" s="1"/>
  <c r="E58"/>
  <c r="E21"/>
  <c r="E20"/>
  <c r="E19"/>
  <c r="D60" i="7" l="1"/>
  <c r="E8" i="8"/>
  <c r="E64" i="6"/>
  <c r="B17"/>
  <c r="C19" s="1"/>
  <c r="D23" s="1"/>
  <c r="E23" s="1"/>
  <c r="D43"/>
  <c r="E43" s="1"/>
  <c r="E51" i="7"/>
  <c r="D61" s="1"/>
  <c r="E12" i="8" s="1"/>
  <c r="E41" i="7"/>
  <c r="E42"/>
  <c r="E13"/>
  <c r="E23"/>
  <c r="E11"/>
  <c r="E27"/>
  <c r="E25"/>
  <c r="E44"/>
  <c r="E12"/>
  <c r="E43"/>
  <c r="B69" i="6"/>
  <c r="C67" i="1"/>
  <c r="C70" s="1"/>
  <c r="E66"/>
  <c r="C66" s="1"/>
  <c r="F14" i="7" l="1"/>
  <c r="F45"/>
  <c r="B61" s="1"/>
  <c r="F29"/>
  <c r="D71" i="1"/>
  <c r="H29" i="4" s="1"/>
  <c r="D73" i="1" s="1"/>
  <c r="F61" i="7" l="1"/>
  <c r="F13" i="8" s="1"/>
  <c r="E11"/>
  <c r="H22"/>
  <c r="B60" i="7"/>
  <c r="D74" i="1"/>
  <c r="D75" s="1"/>
  <c r="F60" i="7" l="1"/>
  <c r="F9" i="8" s="1"/>
  <c r="F15" s="1"/>
  <c r="E7"/>
  <c r="F62" i="7" l="1"/>
  <c r="F64" s="1"/>
  <c r="B72" i="6" s="1"/>
  <c r="D73" s="1"/>
  <c r="E73" s="1"/>
  <c r="D77" l="1"/>
  <c r="H19" i="8" s="1"/>
  <c r="I25" s="1"/>
</calcChain>
</file>

<file path=xl/comments1.xml><?xml version="1.0" encoding="utf-8"?>
<comments xmlns="http://schemas.openxmlformats.org/spreadsheetml/2006/main">
  <authors>
    <author>Gründerlexikon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Wenn Zelle leer, erfolgt keine Bewertung!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Wenn Ihnen dieses Bewertungskriterium wichtiger / unwichtiger ist als andere, ändern Sie die Sensitivität!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Für Shops und Redaktionsseiten sehr wichtig!
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Für Shops sehr wichtig!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Wenn Ihnen dieses Bewertungskriterium wichtiger / unwichtiger ist als andere, ändern Sie die Sensitivität!</t>
        </r>
      </text>
    </comment>
  </commentList>
</comments>
</file>

<file path=xl/comments2.xml><?xml version="1.0" encoding="utf-8"?>
<comments xmlns="http://schemas.openxmlformats.org/spreadsheetml/2006/main">
  <authors>
    <author>Gründerlexikon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Wenn Gewichtung anders als 1, bitte neue Zahl (&gt;0 x &lt;1) eingeben. Wenn keine Berechnung erfolgen soll, bitte "0" eingeben!
1 = anwenden
2 = ignorieren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Wenn Gewichtung anders als 1, bitte neue Zahl (&gt;0 x &lt;1) eingeben. Wenn keine Berechnung erfolgen soll, bitte "0" eingeben!
1 = anwenden
2 = ignorieren</t>
        </r>
      </text>
    </comment>
    <comment ref="A52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Wenn Gewichtung anders als 1, bitte neue Zahl (&gt;0 x &lt;1) eingeben. Wenn keine Berechnung erfolgen soll, bitte "0" eingeben!
1 = anwenden
2 = ignorieren</t>
        </r>
      </text>
    </comment>
    <comment ref="A68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Wenn Gewichtung anders als 1, bitte neue Zahl (&gt;0 x &lt;1) eingeben. Wenn keine Berechnung erfolgen soll, bitte "0" eingeben!
1 = anwenden
2 = ignorieren</t>
        </r>
      </text>
    </comment>
  </commentList>
</comments>
</file>

<file path=xl/comments3.xml><?xml version="1.0" encoding="utf-8"?>
<comments xmlns="http://schemas.openxmlformats.org/spreadsheetml/2006/main">
  <authors>
    <author>Gründerlexikon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Tragen Sie die Anzahl der Buchstaben des Domainnamens ein!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26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27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ja, 2 Bindestriche
2 = ja, 3 Bindestriche
3 = ja, 4 oder mehr Bindestriche
4 = nein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Tragen Sie die Anzahl der vorhandenen Synonyme ein!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Tragen Sie die Anzahl der noch freien DE Domains ein!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Tragen Sie die Anzahl der noch freien Domains (net, info, biz, org, ch, at) ein!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49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Tragen Sie den Wert für die zutreffende Antwort ein!
1 = ja
2 = nein
3 = eventuell, teilweise, weiß nicht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 xml:space="preserve">Bitte wählen Sie und tragen den entsprechenden Wert in Spalte C ein!
</t>
        </r>
        <r>
          <rPr>
            <sz val="9"/>
            <color indexed="81"/>
            <rFont val="Tahoma"/>
            <family val="2"/>
          </rPr>
          <t>1 = Der Domainname ist sehr begehrt in der Branche, wenn er denn zum Verkauf stände.
2 = Es existiert nur in bestimmten Teilen der Branche großes Interesse an dem Domainnamen.
3 = Lediglich vereinzeltes Interesse bei einigen Unternehmen ist vorhanden.
4 = Wenige bis keine Unternehmen interessieren sich eventuell für diesen Domainnamen.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 xml:space="preserve">Bitte wählen Sie und tragen den entsprechenden Wert in Spalte C ein!
</t>
        </r>
        <r>
          <rPr>
            <sz val="9"/>
            <color indexed="81"/>
            <rFont val="Tahoma"/>
            <family val="2"/>
          </rPr>
          <t xml:space="preserve">
1 = Kleinunternehmer, aussterbendes Gewerbe
2 = Friseure, Fischereibetriebe
3 = Zahnärzte, Werbeagenturen
4 = Rechts- und Steuerberatung, Notare
5 = Gastronomie, Tourismus, Reisen
6 = Verlage, Druckereien, Internet
7 = chemische Ind., Textilind., Pharmaindustrie
8 = Energieversorgung
9 = Baugewerbe
10 = Banken und Versicherungen</t>
        </r>
      </text>
    </comment>
    <comment ref="C59" authorId="0">
      <text>
        <r>
          <rPr>
            <b/>
            <sz val="9"/>
            <color indexed="81"/>
            <rFont val="Tahoma"/>
            <family val="2"/>
          </rPr>
          <t xml:space="preserve">Bitte wählen Sie und tragen den entsprechenden Wert in Spalte C ein!
</t>
        </r>
        <r>
          <rPr>
            <sz val="9"/>
            <color indexed="81"/>
            <rFont val="Tahoma"/>
            <family val="2"/>
          </rPr>
          <t xml:space="preserve">
1 = 0-5 Beschäftigte
2 = 6-10 Beschäftigte
3 = 11-50 Beschäftigte
4 = 51-200 Beschäftigte
5 = 201-1000 Beschäftigte
6 = 1001-5000 Beschäftigte
7 = 5001-50000 Beschäftigte
8 = mehr als 50000 Beschäftigte</t>
        </r>
      </text>
    </comment>
    <comment ref="C60" authorId="0">
      <text>
        <r>
          <rPr>
            <b/>
            <sz val="9"/>
            <color indexed="81"/>
            <rFont val="Tahoma"/>
            <family val="2"/>
          </rPr>
          <t xml:space="preserve">Bitte wählen Sie und tragen den entsprechenden Wert in Spalte C ein!
</t>
        </r>
        <r>
          <rPr>
            <sz val="9"/>
            <color indexed="81"/>
            <rFont val="Tahoma"/>
            <family val="2"/>
          </rPr>
          <t xml:space="preserve">
1 = &lt; 5 Euro
2 = 5-20 Euro
3 = 20-100 Euro
4 = 100-500 Euro
5 = 500-5.000 Euro
6 = 5.000-50.000 Euro
7 = &gt; 50.000 Euro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 xml:space="preserve">Bitte wählen Sie und tragen den entsprechenden Wert in Spalte C ein!
</t>
        </r>
        <r>
          <rPr>
            <sz val="9"/>
            <color indexed="81"/>
            <rFont val="Tahoma"/>
            <family val="2"/>
          </rPr>
          <t>1 = regional (bspw.: autowaschen.de)
2 = überregional (gokartbahn.de)
3 = bundesweit (geschirrversand.de)
4 = weltweit (credit.com)</t>
        </r>
      </text>
    </comment>
    <comment ref="C62" authorId="0">
      <text>
        <r>
          <rPr>
            <b/>
            <sz val="9"/>
            <color indexed="81"/>
            <rFont val="Tahoma"/>
            <family val="2"/>
          </rPr>
          <t xml:space="preserve">Bitte wählen Sie und tragen den entsprechenden Wert in Spalte C ein!
</t>
        </r>
        <r>
          <rPr>
            <sz val="9"/>
            <color indexed="81"/>
            <rFont val="Tahoma"/>
            <family val="2"/>
          </rPr>
          <t xml:space="preserve">
1 = Branche nutzt das Internet sehr zaghaft oder gar nicht.
2 = Branche nutzt das Netz regelmäßig.
3 = Branche weißt eine starke Abhängigkeit vom Internet auf.
4 = Branche kann ohne Internet nicht existieren.</t>
        </r>
      </text>
    </comment>
    <comment ref="C63" authorId="0">
      <text>
        <r>
          <rPr>
            <b/>
            <sz val="9"/>
            <color indexed="81"/>
            <rFont val="Tahoma"/>
            <family val="2"/>
          </rPr>
          <t xml:space="preserve">Bitte wählen Sie und tragen den entsprechenden Wert in Spalte C ein!
</t>
        </r>
        <r>
          <rPr>
            <sz val="9"/>
            <color indexed="81"/>
            <rFont val="Tahoma"/>
            <family val="2"/>
          </rPr>
          <t xml:space="preserve">
-2 Punkte = aussichtslos
-1 Punkt  = schlecht
 0 Punkte = durchschnittlich
 1 Punkt  = in Ordnung
 2 Punkte = spitzenmäßig
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Sehen Sie sich meine Beispiele an und tragen Sie den entsprechenden Punktwert in Spalte C ein!</t>
        </r>
      </text>
    </comment>
    <comment ref="C74" authorId="0">
      <text>
        <r>
          <rPr>
            <b/>
            <sz val="9"/>
            <color indexed="81"/>
            <rFont val="Tahoma"/>
            <family val="2"/>
          </rPr>
          <t>Geben Sie den Wertabschlag ein. Ohne Eingabe wird mit 0,33 (33,33%) gerechnet!
Mögliche Eingabe: 0 - 1,0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Gründerlexikon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Für Redaktionsseiten sehr wichtig!</t>
        </r>
      </text>
    </comment>
  </commentList>
</comments>
</file>

<file path=xl/comments5.xml><?xml version="1.0" encoding="utf-8"?>
<comments xmlns="http://schemas.openxmlformats.org/spreadsheetml/2006/main">
  <authors>
    <author>Gründerlexikon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Für Shops sehr wichtig!</t>
        </r>
      </text>
    </comment>
  </commentList>
</comments>
</file>

<file path=xl/sharedStrings.xml><?xml version="1.0" encoding="utf-8"?>
<sst xmlns="http://schemas.openxmlformats.org/spreadsheetml/2006/main" count="501" uniqueCount="289">
  <si>
    <t>Ist dieser Domainname generell für Unternehmen interessant?</t>
  </si>
  <si>
    <t>20 minus Zeichenanzahl</t>
  </si>
  <si>
    <t>am:</t>
  </si>
  <si>
    <t>beispieldomain.de</t>
  </si>
  <si>
    <t>Bewertung</t>
  </si>
  <si>
    <t>Ergebnis</t>
  </si>
  <si>
    <t>A. Länge der Domain</t>
  </si>
  <si>
    <t>B. Vermarktungspotential</t>
  </si>
  <si>
    <t>D. Alternativen und Ausweichmöglichkeiten</t>
  </si>
  <si>
    <t>E. Marken- und namensrechtliche Probleme</t>
  </si>
  <si>
    <t>F. Finanzstärke anderer Interessenten</t>
  </si>
  <si>
    <t>ja: +2 nein: 0</t>
  </si>
  <si>
    <t>ja: +1 nein: 0</t>
  </si>
  <si>
    <t>ja: +2 teilweise: +1 nein: 0</t>
  </si>
  <si>
    <t>ja: +4 teilweise: +2 nein: 0</t>
  </si>
  <si>
    <t>Ihre Werte</t>
  </si>
  <si>
    <t>Hilfe</t>
  </si>
  <si>
    <t>Hier bei Google Abfragen!</t>
  </si>
  <si>
    <t>Im Duden suchen</t>
  </si>
  <si>
    <t>Bei Google Analytics vom Inhaber abrufbar!</t>
  </si>
  <si>
    <t>C. Missverständnis oder Doppeldeutigkeit der Domain</t>
  </si>
  <si>
    <t>ja:-2 evtl.:-1 nein:0</t>
  </si>
  <si>
    <t>ja:-4 evtl.:-2 nein:0</t>
  </si>
  <si>
    <t>ja:-2 nein:0</t>
  </si>
  <si>
    <t>ja:-10 nein:0</t>
  </si>
  <si>
    <t>ja:-1 nein:0</t>
  </si>
  <si>
    <t>ja:-20 nein:0</t>
  </si>
  <si>
    <t>1. Ist der Domainname als Wort aussprechbar?</t>
  </si>
  <si>
    <t>2. Handelt es sich bei dem Domainnamen um ein Substantiv oder einen Eigennamen?</t>
  </si>
  <si>
    <t>3. Steht der Domainname im Duden?</t>
  </si>
  <si>
    <t>4. Wenn es nicht im Duden steht, besteht der Domainname aus bekannten Wörtern?</t>
  </si>
  <si>
    <t>wenn B.3. = NEIN</t>
  </si>
  <si>
    <t>wenn B.3. UND B.4. = NEIN</t>
  </si>
  <si>
    <t>6. Beschreibt der Domainname einen Beruf, eine Branche oder ein Produkt?</t>
  </si>
  <si>
    <t>9. Wie häufig wird dieser Domainname als Wort im Titel anderer Seiten verwendet?</t>
  </si>
  <si>
    <t>10. Wie häufig wird pro Tag der Domainname auf gut Glück als Wort direkt als Adresse im Browser eingetippt?</t>
  </si>
  <si>
    <t>1. Wie lang ist der Domainname?</t>
  </si>
  <si>
    <t>1. Ist aufgrund des Domainnamens der Inhalt des Webprojektes schwer zu erraten?</t>
  </si>
  <si>
    <t>2. Könnte der Domainname missverständlich sein?</t>
  </si>
  <si>
    <t>5. Sind in der Domain Umlaute oder "ß" vorhanden?</t>
  </si>
  <si>
    <t>6. Sind in der Domain Ziffern enthalten?</t>
  </si>
  <si>
    <t>7. Wird Im Domainnamen '@' anstelle 'a' verwendet?</t>
  </si>
  <si>
    <t>8. Handelt es sich beim Domainnamen um einen Schreibfehler oder einen unverständlichen Begriff?</t>
  </si>
  <si>
    <t>pro Synonym -2 / max. -10</t>
  </si>
  <si>
    <t>ja:-10 / nein:0</t>
  </si>
  <si>
    <t>pro freier Domain: -2, max. -10</t>
  </si>
  <si>
    <t>pro freie Domain: -1, max. -6</t>
  </si>
  <si>
    <t>6. Ist der Domainname ein Synonym oder die andere Schreibweise für ein Wort?</t>
  </si>
  <si>
    <t>7. Ist die DE-Domain noch frei?</t>
  </si>
  <si>
    <t>8. Ist die COM-Domain noch frei?</t>
  </si>
  <si>
    <t>9. Sind andere TLD´s zum Domainnamen noch frei?</t>
  </si>
  <si>
    <t>10. Handelt es sich um eine Umlautdomain?</t>
  </si>
  <si>
    <t>1. Handelt es sich beim Domainnamen um eine geschützte Marke?</t>
  </si>
  <si>
    <t>2. Handelt es sich beim Domainnamen um eine Marke in der gleichen Klasse?</t>
  </si>
  <si>
    <t>3. Ist der Domainname mit einer Marke verwechseltbar?</t>
  </si>
  <si>
    <t>4. Sind die Rechte an dieser Domain gegebenenfalls kritisch zu bewerten?</t>
  </si>
  <si>
    <t>ja:-8 / evtl.:-4 / nein:0</t>
  </si>
  <si>
    <t>ja:-6 / evtl.:-3 / nein:0</t>
  </si>
  <si>
    <t>ja:-12 / evtl.:-6 / nein:0</t>
  </si>
  <si>
    <t>2. Wie groß ist die Branche, die sich für den Domainnamen interessieren könnte?</t>
  </si>
  <si>
    <t>4. Wie hoch sind die Umsätze durch die Produkte, die Unternehmen verkaufen, die sich für diese Domain interessieren?</t>
  </si>
  <si>
    <t>5. Wie groß ist das Kundenpotential, welches durch das Angebot auf dieser Domain erreicht werden könnte?</t>
  </si>
  <si>
    <t>Ja, der Domainname ist für bestimmte Branchen interessant: Bitte Fragen F.2 bis F.7 beantworten!</t>
  </si>
  <si>
    <t>Nein, es besteht für Unternehmen kein Interesse an diesem Domainnamen: Keine weitere Beantwortung nötig!</t>
  </si>
  <si>
    <t>7. Wie ist die wirtschaftliche Lage sowie die Lage der Internetbranche zukünftig zu bewerten?</t>
  </si>
  <si>
    <t>Beispiele</t>
  </si>
  <si>
    <t>branchenspezifisch bedeutungslose aber bekannte Wörter</t>
  </si>
  <si>
    <t>Markenbildende (brandingfähig) Fantasienamen oder Kunstworte</t>
  </si>
  <si>
    <t>Abkürzungen mit 3 Buchstaben</t>
  </si>
  <si>
    <t>Abkürzungen mit 4 Buchstaben</t>
  </si>
  <si>
    <t>Eigennamen</t>
  </si>
  <si>
    <t>TOP-Namen</t>
  </si>
  <si>
    <t>z.b. lucky.de</t>
  </si>
  <si>
    <t>gute Namen</t>
  </si>
  <si>
    <t>z.B. rainer.de; stadtkern.de</t>
  </si>
  <si>
    <t>durchschnittliche Namen</t>
  </si>
  <si>
    <t>z.b. verbinden.de</t>
  </si>
  <si>
    <t>0 Punkte</t>
  </si>
  <si>
    <t>wenig attraktive Namen</t>
  </si>
  <si>
    <t>z.b. staatsparasit.de</t>
  </si>
  <si>
    <t>sehr gute Wörter</t>
  </si>
  <si>
    <t>z.b. scouty.de</t>
  </si>
  <si>
    <t>TOP-Wörter</t>
  </si>
  <si>
    <t>z.b. outfitery.de</t>
  </si>
  <si>
    <t>durchschnittliche Wörter</t>
  </si>
  <si>
    <t>z.b. volimea.de, lagovida.de</t>
  </si>
  <si>
    <t>wenig attraktive Wörter</t>
  </si>
  <si>
    <t>z.B. clubawellio.de</t>
  </si>
  <si>
    <t>z.B. analis.de</t>
  </si>
  <si>
    <t>-</t>
  </si>
  <si>
    <t>sehr gute Abkürzungen</t>
  </si>
  <si>
    <t>schlechte Abkürzungen</t>
  </si>
  <si>
    <t>gute Abkürzungen</t>
  </si>
  <si>
    <t>durchschnittliche Abkürzungen</t>
  </si>
  <si>
    <t>Familiennamen</t>
  </si>
  <si>
    <t>z.b. mannsheimer.de</t>
  </si>
  <si>
    <t>TOP-Abkürzungen</t>
  </si>
  <si>
    <t>z.b. dll.de oder ceo.de</t>
  </si>
  <si>
    <t>z.b. dos.de oder bbq.de</t>
  </si>
  <si>
    <t>z.b. mp3.de oder pkw.de</t>
  </si>
  <si>
    <t>z.b. avx.de</t>
  </si>
  <si>
    <t>z.b. qxc.de</t>
  </si>
  <si>
    <t>z.b. zzzm.de</t>
  </si>
  <si>
    <t>z.b. fibu.de</t>
  </si>
  <si>
    <t>z.b. litl.de</t>
  </si>
  <si>
    <t>z.b. giga.de</t>
  </si>
  <si>
    <t>z.b. gaap.de</t>
  </si>
  <si>
    <t>z.b. schlecker.de</t>
  </si>
  <si>
    <t>z.b. roddel.de</t>
  </si>
  <si>
    <t>schlechter Eigenname</t>
  </si>
  <si>
    <t>TOP-Eigenname</t>
  </si>
  <si>
    <t>schlechter Name</t>
  </si>
  <si>
    <t>z.b. amtsverzeichnis.de</t>
  </si>
  <si>
    <t>schlechter Wörter</t>
  </si>
  <si>
    <t>Sehen Sie sich hier die Beispiele an!</t>
  </si>
  <si>
    <t>Zurück zur Domainbewertung!</t>
  </si>
  <si>
    <t>1 Punkte</t>
  </si>
  <si>
    <t>2 Punkte</t>
  </si>
  <si>
    <t>3 Punkte</t>
  </si>
  <si>
    <t>4 Punkte</t>
  </si>
  <si>
    <t>Summe F.2. bis F.7.</t>
  </si>
  <si>
    <t>Faktor aus F.1.</t>
  </si>
  <si>
    <t>Ergebnis Kategorie F.</t>
  </si>
  <si>
    <t>Ergebnis F.8. x 5</t>
  </si>
  <si>
    <t>Summe A. bis E.</t>
  </si>
  <si>
    <t>ja 2:-4 / ja 3:-6 / ja mehr als 3:-10 / nein:0</t>
  </si>
  <si>
    <t>Ja, aber es besteht ein branchenübergreifendes Interesse an dem Namen: Bitte nur die Frage F.8. beantworten!</t>
  </si>
  <si>
    <t>Zwischenergebnis Domainbewertung</t>
  </si>
  <si>
    <t>Obere Wertschätzung der Domain</t>
  </si>
  <si>
    <t>Untere Wertschätzung der Domain</t>
  </si>
  <si>
    <t>Mittelwert der Domain</t>
  </si>
  <si>
    <t>3. Können Sie vom Domainnamen eine Abkürzung bilden?</t>
  </si>
  <si>
    <t>4. Ist der Domainnamen die Abkürzung eines Wortes?</t>
  </si>
  <si>
    <t>2. Ist der Domainnamen der Plural eines Wortes?</t>
  </si>
  <si>
    <t>1. Kann man von dem Domainnamen den Plural bilden?</t>
  </si>
  <si>
    <t>5. Wird im Domainnamen ein nicht zwingender Bindestrich verwendet?</t>
  </si>
  <si>
    <t>5. Handelt es sich beim Domainnamen um ein besonders gut klingenden Begriff?</t>
  </si>
  <si>
    <t>7. Wird mit dem Domainnamen eine positive Emotion ausgelöst oder verbunden?</t>
  </si>
  <si>
    <t>8. Wie häufig wird der Domainname als Suchbegriff in Suchmaschinen angezeigt?</t>
  </si>
  <si>
    <t>3. Wird im Domainnamen ein Bindestriche an einer unüblichen Stellen gesetzt?</t>
  </si>
  <si>
    <t>4. Sind im Domainnamen mehrere Bindestriche vorhanden?</t>
  </si>
  <si>
    <t>1. Wie hoch schätzen Sie das Interesse anderer Unternehmen an diesem Domainnamen ein?</t>
  </si>
  <si>
    <t>3. Wieviele Mitarbeiter haben üblicherweise Unternehmen, die sich für Ihre Domain interessieren?</t>
  </si>
  <si>
    <t>6. Sind die Unternehmen der Interessenten des Domainnamens vom Internet abhängig?</t>
  </si>
  <si>
    <t>8. Wie ist die Qualität, der Phantasiename, der Brand oder die Abkürzung zu bewerten?</t>
  </si>
  <si>
    <t>x</t>
  </si>
  <si>
    <t>Wenn Sie bereits selbst eigentümer der Domain sind, bitte keine Minuspunkte berechnen!</t>
  </si>
  <si>
    <t>y</t>
  </si>
  <si>
    <t>Verwendete Formel</t>
  </si>
  <si>
    <t>y=46,141e^0,0932x</t>
  </si>
  <si>
    <t>zu verwendenden Wert</t>
  </si>
  <si>
    <t>Punkte x2</t>
  </si>
  <si>
    <t>Punkte einfach</t>
  </si>
  <si>
    <t>Bewertung durch:</t>
  </si>
  <si>
    <t>Jahresumsatz (U)</t>
  </si>
  <si>
    <t>+/- Bestandsveränderung</t>
  </si>
  <si>
    <t>= Ertrag</t>
  </si>
  <si>
    <t>Jahreskosten</t>
  </si>
  <si>
    <t>Texter</t>
  </si>
  <si>
    <t>Server</t>
  </si>
  <si>
    <t>Wartung, Rep. Programmierung</t>
  </si>
  <si>
    <t>Newsletter</t>
  </si>
  <si>
    <t>sonstiges</t>
  </si>
  <si>
    <t>Summe Kosten</t>
  </si>
  <si>
    <t>Jahresgewinn (E)</t>
  </si>
  <si>
    <t>Kapitalisierungszinssatz (i)</t>
  </si>
  <si>
    <t>vorhandener Warenbestand</t>
  </si>
  <si>
    <t>Anlagevermögen</t>
  </si>
  <si>
    <t>Liquide Mittel</t>
  </si>
  <si>
    <t>Warenbestand</t>
  </si>
  <si>
    <t>Debitoren (Forderungen)</t>
  </si>
  <si>
    <t>Kreditoren</t>
  </si>
  <si>
    <t>Verzinsliches FK</t>
  </si>
  <si>
    <t>Sonstige Verb.</t>
  </si>
  <si>
    <t>Sonstige Passivwerte</t>
  </si>
  <si>
    <t>Summe Passiva</t>
  </si>
  <si>
    <t>Texte</t>
  </si>
  <si>
    <t>Bilder, Design, Templates</t>
  </si>
  <si>
    <t>Programmierung (Fremdleistung)</t>
  </si>
  <si>
    <t>Personalkosten</t>
  </si>
  <si>
    <t>Marketing</t>
  </si>
  <si>
    <t>Sach- und Verwaltungskosten</t>
  </si>
  <si>
    <t>externe Beratung</t>
  </si>
  <si>
    <t>genutzte Onlinetools</t>
  </si>
  <si>
    <t>Summe Reproduktionswerte</t>
  </si>
  <si>
    <t>Summe Verbindlichkeiten (FK)</t>
  </si>
  <si>
    <t>Substanzwert (SW)</t>
  </si>
  <si>
    <t>Umsatz (U)</t>
  </si>
  <si>
    <t>Erfahrungssatz der Branche (M)</t>
  </si>
  <si>
    <t>Webseitenbewertungsfaktor (CC Value)</t>
  </si>
  <si>
    <t>Sensitivität</t>
  </si>
  <si>
    <t>Ermittlung des Kaufpreises eines Webprojekt</t>
  </si>
  <si>
    <t>+</t>
  </si>
  <si>
    <t>=</t>
  </si>
  <si>
    <t>Unique User</t>
  </si>
  <si>
    <t>Gesamtuser</t>
  </si>
  <si>
    <t>Pageimpressions</t>
  </si>
  <si>
    <t>onpage</t>
  </si>
  <si>
    <t>offpage</t>
  </si>
  <si>
    <t>Conversionrate</t>
  </si>
  <si>
    <t>Link-pop</t>
  </si>
  <si>
    <t>Domain-pop</t>
  </si>
  <si>
    <t>IP-pop</t>
  </si>
  <si>
    <t>Class-C-pop</t>
  </si>
  <si>
    <t>lt. Sistrix Toolbox</t>
  </si>
  <si>
    <t>Faktor</t>
  </si>
  <si>
    <t>neu</t>
  </si>
  <si>
    <t>dursch. Verweildauer</t>
  </si>
  <si>
    <t>durchschn. Ausstiegsrate</t>
  </si>
  <si>
    <t>Neue Sitzungen in %</t>
  </si>
  <si>
    <t>Faktor (y)</t>
  </si>
  <si>
    <t>SEO Aspekte</t>
  </si>
  <si>
    <t>Inhaltliche Aspekte</t>
  </si>
  <si>
    <t>Technische Aspekte</t>
  </si>
  <si>
    <t>min. Wert</t>
  </si>
  <si>
    <t>Max. Wert</t>
  </si>
  <si>
    <t>durchschn. Ausstiegsrate in %</t>
  </si>
  <si>
    <t>Mittelwert</t>
  </si>
  <si>
    <t>max. Wert</t>
  </si>
  <si>
    <t>a</t>
  </si>
  <si>
    <t>b</t>
  </si>
  <si>
    <t>c</t>
  </si>
  <si>
    <t>Sistrixindex</t>
  </si>
  <si>
    <t>User pro Jahr</t>
  </si>
  <si>
    <t>User und unique User</t>
  </si>
  <si>
    <t>Page impressions</t>
  </si>
  <si>
    <t>Pis</t>
  </si>
  <si>
    <t>CC Value</t>
  </si>
  <si>
    <t>Gleichschaltungsfaktor</t>
  </si>
  <si>
    <t>Onpagebewertungsfaktor</t>
  </si>
  <si>
    <t>Gesamt</t>
  </si>
  <si>
    <t>durchschn. Verweildauer in Sek.</t>
  </si>
  <si>
    <t>Offpagebewertungsfaktor</t>
  </si>
  <si>
    <t>Ergebnis II: offpage-Bewertungsfaktor x Summe offpage Kriterien</t>
  </si>
  <si>
    <t>Ergebnis I: onpage-Bewertungsfaktor x Summe onpage Kriterien</t>
  </si>
  <si>
    <t>Webseitenbewertungsfaktor = Ergebnis I + Ergebnis II</t>
  </si>
  <si>
    <t>UW = SW + UxM</t>
  </si>
  <si>
    <t>folgende 2 brechnungen werden derzeit nicht benötigt:</t>
  </si>
  <si>
    <t>Ergebnisberechnung</t>
  </si>
  <si>
    <t>Alter der Domain in Jahren</t>
  </si>
  <si>
    <t>III. Domainbewertung</t>
  </si>
  <si>
    <t>I. technische Bewertung</t>
  </si>
  <si>
    <t>b. User-Umsatz</t>
  </si>
  <si>
    <t>c. User-Rotation</t>
  </si>
  <si>
    <t>Sichtbarkeit</t>
  </si>
  <si>
    <t>II. wirtschaftliche Berechnung</t>
  </si>
  <si>
    <t>III. Domainbewertung (oberen Wert)</t>
  </si>
  <si>
    <t>Kaufpreis</t>
  </si>
  <si>
    <t>Faktoren</t>
  </si>
  <si>
    <t>Kaufpreisempfehlung gesamtes Webprojekt</t>
  </si>
  <si>
    <t>Ermitteln Sie das Alter der Domain!</t>
  </si>
  <si>
    <t>Onpage x Faktor</t>
  </si>
  <si>
    <t>Offpage x Faktor</t>
  </si>
  <si>
    <t>Benutzereingabe</t>
  </si>
  <si>
    <t>Kaufpreisempfehlung für die Webseite</t>
  </si>
  <si>
    <t>Anzahl der Methoden:</t>
  </si>
  <si>
    <t>II. wirtschaftliche Bewertung</t>
  </si>
  <si>
    <t>in Monaten</t>
  </si>
  <si>
    <t>lt. Gesonderter Ermittlung</t>
  </si>
  <si>
    <t>Überblick</t>
  </si>
  <si>
    <t>Web-Tipps:</t>
  </si>
  <si>
    <t>Jetzt lesen!</t>
  </si>
  <si>
    <t>Wie kann ich eine Webseite analysieren, um deren Wert zu ermitteln?</t>
  </si>
  <si>
    <t>Wie ermittle ich den Preis einer Webseite?</t>
  </si>
  <si>
    <t>Domainhandelsbörsen: Wo kann man Domains oder Webprojekte kaufen?</t>
  </si>
  <si>
    <t>Berechnung</t>
  </si>
  <si>
    <t>3. Offpage: a. Backlinks</t>
  </si>
  <si>
    <t>4. Offpage-Bewertungsfaktor: a. Domainalter</t>
  </si>
  <si>
    <t>lt. Sistrix</t>
  </si>
  <si>
    <t>lt. Onpage</t>
  </si>
  <si>
    <t>lt. Analytics</t>
  </si>
  <si>
    <t>1. Onpage: a. User-Menge pro Jahr</t>
  </si>
  <si>
    <t>2. Onpage-Bewertungsfaktor: a. onpage.org - Fertigstellung</t>
  </si>
  <si>
    <t>Geben Sie Ihre Daten in den grauen Feldern ein!</t>
  </si>
  <si>
    <t>Probieren und testen Sie unterschiedliche Webseiten und Daten</t>
  </si>
  <si>
    <t xml:space="preserve"> Denken Sie daran: Kein Modell ist 100%-ig! Es kommt am Ende auf die Einigung der Verhandlungspartner an.</t>
  </si>
  <si>
    <t>Status der Fertigstellung:</t>
  </si>
  <si>
    <t>1. Ertragswertverfahren</t>
  </si>
  <si>
    <t>2. Buchwertverfahren</t>
  </si>
  <si>
    <t>3. Substanzwertverfahren</t>
  </si>
  <si>
    <t>4. Umsatzwertverfahren (UW)</t>
  </si>
  <si>
    <t>Summe Aktiva</t>
  </si>
  <si>
    <t>sonstige Aktivwerte</t>
  </si>
  <si>
    <t>Datenerfassung</t>
  </si>
  <si>
    <t>Kauf einer Webseite</t>
  </si>
  <si>
    <t>Monate</t>
  </si>
  <si>
    <t>Check</t>
  </si>
  <si>
    <t>Fertigstellung</t>
  </si>
  <si>
    <t>- Nur für eigene Zwecke, keine gewerbliche Nutzung oder Weitergabe gestattet! -</t>
  </si>
</sst>
</file>

<file path=xl/styles.xml><?xml version="1.0" encoding="utf-8"?>
<styleSheet xmlns="http://schemas.openxmlformats.org/spreadsheetml/2006/main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0000"/>
    <numFmt numFmtId="166" formatCode="0.0"/>
    <numFmt numFmtId="167" formatCode="#,##0_ ;\-#,##0\ "/>
    <numFmt numFmtId="168" formatCode="#,##0.000_ ;\-#,##0.000\ "/>
    <numFmt numFmtId="169" formatCode="_-* #,##0.000\ _€_-;\-* #,##0.000\ _€_-;_-* &quot;-&quot;??\ _€_-;_-@_-"/>
    <numFmt numFmtId="170" formatCode="#,##0.00_ ;\-#,##0.00\ "/>
    <numFmt numFmtId="171" formatCode="_-* #,##0\ _€_-;\-* #,##0\ _€_-;_-* &quot;-&quot;??\ _€_-;_-@_-"/>
    <numFmt numFmtId="172" formatCode="_-* #,##0.00000000\ _€_-;\-* #,##0.00000000\ _€_-;_-* &quot;-&quot;??\ _€_-;_-@_-"/>
  </numFmts>
  <fonts count="30"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Tahoma"/>
      <family val="2"/>
      <charset val="204"/>
    </font>
    <font>
      <b/>
      <sz val="18"/>
      <color theme="0"/>
      <name val="Calibri"/>
      <family val="2"/>
      <scheme val="minor"/>
    </font>
    <font>
      <b/>
      <sz val="10"/>
      <color theme="0"/>
      <name val="Tahoma"/>
      <family val="2"/>
      <charset val="204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Tahoma"/>
      <family val="2"/>
      <charset val="204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quotePrefix="1" applyFont="1"/>
    <xf numFmtId="0" fontId="3" fillId="0" borderId="0" xfId="0" applyFont="1"/>
    <xf numFmtId="0" fontId="4" fillId="0" borderId="0" xfId="1" applyAlignment="1" applyProtection="1"/>
    <xf numFmtId="0" fontId="0" fillId="2" borderId="0" xfId="0" applyFill="1"/>
    <xf numFmtId="0" fontId="5" fillId="0" borderId="0" xfId="0" applyFont="1" applyAlignment="1">
      <alignment horizontal="left" indent="1"/>
    </xf>
    <xf numFmtId="0" fontId="0" fillId="0" borderId="1" xfId="0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/>
    <xf numFmtId="44" fontId="0" fillId="0" borderId="0" xfId="2" applyFont="1"/>
    <xf numFmtId="0" fontId="2" fillId="0" borderId="0" xfId="0" applyFont="1" applyFill="1"/>
    <xf numFmtId="0" fontId="0" fillId="0" borderId="0" xfId="0" quotePrefix="1"/>
    <xf numFmtId="0" fontId="3" fillId="0" borderId="0" xfId="0" applyFont="1" applyAlignment="1">
      <alignment horizontal="center"/>
    </xf>
    <xf numFmtId="0" fontId="5" fillId="0" borderId="0" xfId="0" applyFont="1"/>
    <xf numFmtId="0" fontId="10" fillId="0" borderId="9" xfId="0" applyFont="1" applyBorder="1"/>
    <xf numFmtId="0" fontId="0" fillId="0" borderId="10" xfId="0" applyBorder="1"/>
    <xf numFmtId="0" fontId="10" fillId="0" borderId="5" xfId="0" applyFont="1" applyBorder="1"/>
    <xf numFmtId="0" fontId="10" fillId="0" borderId="7" xfId="0" applyFont="1" applyBorder="1"/>
    <xf numFmtId="0" fontId="1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10" fillId="0" borderId="11" xfId="2" applyFont="1" applyBorder="1" applyAlignment="1">
      <alignment horizontal="center"/>
    </xf>
    <xf numFmtId="44" fontId="10" fillId="0" borderId="6" xfId="2" applyFont="1" applyBorder="1" applyAlignment="1">
      <alignment horizontal="center"/>
    </xf>
    <xf numFmtId="44" fontId="10" fillId="0" borderId="8" xfId="2" applyFont="1" applyBorder="1" applyAlignment="1">
      <alignment horizontal="center"/>
    </xf>
    <xf numFmtId="164" fontId="9" fillId="0" borderId="0" xfId="2" applyNumberFormat="1" applyFont="1" applyBorder="1"/>
    <xf numFmtId="43" fontId="9" fillId="0" borderId="0" xfId="3" applyFont="1" applyAlignment="1">
      <alignment horizontal="center"/>
    </xf>
    <xf numFmtId="44" fontId="9" fillId="0" borderId="0" xfId="2" applyFont="1" applyBorder="1"/>
    <xf numFmtId="0" fontId="3" fillId="0" borderId="0" xfId="0" applyFont="1" applyBorder="1" applyAlignment="1">
      <alignment horizontal="center"/>
    </xf>
    <xf numFmtId="43" fontId="9" fillId="0" borderId="0" xfId="3" applyFont="1" applyBorder="1" applyAlignment="1">
      <alignment horizontal="center"/>
    </xf>
    <xf numFmtId="44" fontId="9" fillId="0" borderId="0" xfId="2" applyFont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15" xfId="0" applyFont="1" applyBorder="1"/>
    <xf numFmtId="43" fontId="9" fillId="0" borderId="16" xfId="3" applyFont="1" applyBorder="1" applyAlignment="1">
      <alignment horizontal="center"/>
    </xf>
    <xf numFmtId="0" fontId="3" fillId="0" borderId="17" xfId="0" applyFont="1" applyBorder="1"/>
    <xf numFmtId="43" fontId="9" fillId="0" borderId="18" xfId="3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43" fontId="9" fillId="0" borderId="14" xfId="3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2" fillId="0" borderId="12" xfId="0" applyFont="1" applyBorder="1"/>
    <xf numFmtId="44" fontId="0" fillId="0" borderId="0" xfId="0" applyNumberFormat="1"/>
    <xf numFmtId="0" fontId="15" fillId="0" borderId="0" xfId="0" applyFont="1" applyBorder="1" applyAlignment="1">
      <alignment horizontal="center"/>
    </xf>
    <xf numFmtId="0" fontId="0" fillId="0" borderId="17" xfId="0" applyFill="1" applyBorder="1"/>
    <xf numFmtId="0" fontId="12" fillId="0" borderId="0" xfId="0" applyFont="1" applyBorder="1"/>
    <xf numFmtId="43" fontId="9" fillId="0" borderId="0" xfId="3" applyFont="1" applyFill="1" applyBorder="1"/>
    <xf numFmtId="167" fontId="9" fillId="0" borderId="0" xfId="2" applyNumberFormat="1" applyFont="1"/>
    <xf numFmtId="167" fontId="0" fillId="0" borderId="0" xfId="2" applyNumberFormat="1" applyFont="1"/>
    <xf numFmtId="167" fontId="0" fillId="0" borderId="0" xfId="2" quotePrefix="1" applyNumberFormat="1" applyFont="1"/>
    <xf numFmtId="168" fontId="9" fillId="0" borderId="0" xfId="2" applyNumberFormat="1" applyFont="1"/>
    <xf numFmtId="169" fontId="15" fillId="0" borderId="0" xfId="3" applyNumberFormat="1" applyFont="1" applyBorder="1" applyAlignment="1">
      <alignment horizontal="center"/>
    </xf>
    <xf numFmtId="169" fontId="9" fillId="0" borderId="0" xfId="3" applyNumberFormat="1" applyFont="1" applyBorder="1" applyAlignment="1">
      <alignment horizontal="center"/>
    </xf>
    <xf numFmtId="0" fontId="0" fillId="0" borderId="0" xfId="0" applyFill="1" applyBorder="1"/>
    <xf numFmtId="170" fontId="0" fillId="0" borderId="0" xfId="2" quotePrefix="1" applyNumberFormat="1" applyFont="1"/>
    <xf numFmtId="168" fontId="0" fillId="0" borderId="0" xfId="2" quotePrefix="1" applyNumberFormat="1" applyFont="1"/>
    <xf numFmtId="0" fontId="0" fillId="0" borderId="0" xfId="0" applyFont="1" applyBorder="1"/>
    <xf numFmtId="0" fontId="3" fillId="0" borderId="17" xfId="0" applyFont="1" applyFill="1" applyBorder="1"/>
    <xf numFmtId="169" fontId="9" fillId="0" borderId="13" xfId="3" applyNumberFormat="1" applyFont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43" fontId="9" fillId="4" borderId="19" xfId="3" applyFont="1" applyFill="1" applyBorder="1"/>
    <xf numFmtId="43" fontId="15" fillId="0" borderId="19" xfId="0" applyNumberFormat="1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65" fontId="14" fillId="0" borderId="0" xfId="0" applyNumberFormat="1" applyFont="1" applyFill="1" applyBorder="1" applyAlignment="1">
      <alignment horizontal="center"/>
    </xf>
    <xf numFmtId="169" fontId="9" fillId="0" borderId="14" xfId="3" applyNumberFormat="1" applyFont="1" applyBorder="1" applyAlignment="1">
      <alignment horizontal="center"/>
    </xf>
    <xf numFmtId="0" fontId="12" fillId="0" borderId="17" xfId="0" applyFont="1" applyBorder="1"/>
    <xf numFmtId="0" fontId="12" fillId="0" borderId="15" xfId="0" applyFont="1" applyBorder="1"/>
    <xf numFmtId="44" fontId="9" fillId="0" borderId="0" xfId="2" applyFont="1" applyFill="1" applyBorder="1"/>
    <xf numFmtId="0" fontId="13" fillId="0" borderId="17" xfId="0" applyFont="1" applyFill="1" applyBorder="1"/>
    <xf numFmtId="0" fontId="16" fillId="0" borderId="17" xfId="0" applyFont="1" applyFill="1" applyBorder="1"/>
    <xf numFmtId="0" fontId="15" fillId="6" borderId="0" xfId="0" applyFont="1" applyFill="1" applyBorder="1" applyAlignment="1">
      <alignment horizontal="center"/>
    </xf>
    <xf numFmtId="9" fontId="15" fillId="6" borderId="0" xfId="4" applyFont="1" applyFill="1" applyBorder="1" applyAlignment="1">
      <alignment horizontal="center"/>
    </xf>
    <xf numFmtId="0" fontId="17" fillId="0" borderId="17" xfId="0" applyFont="1" applyFill="1" applyBorder="1"/>
    <xf numFmtId="0" fontId="18" fillId="0" borderId="0" xfId="0" applyFont="1"/>
    <xf numFmtId="172" fontId="15" fillId="0" borderId="0" xfId="3" applyNumberFormat="1" applyFont="1" applyBorder="1" applyAlignment="1">
      <alignment horizontal="left" indent="1"/>
    </xf>
    <xf numFmtId="43" fontId="15" fillId="0" borderId="13" xfId="0" applyNumberFormat="1" applyFont="1" applyBorder="1" applyAlignment="1">
      <alignment horizontal="center"/>
    </xf>
    <xf numFmtId="43" fontId="3" fillId="0" borderId="0" xfId="0" applyNumberFormat="1" applyFont="1" applyBorder="1" applyAlignment="1">
      <alignment horizontal="center"/>
    </xf>
    <xf numFmtId="43" fontId="9" fillId="0" borderId="0" xfId="3" applyFont="1" applyFill="1" applyBorder="1" applyAlignment="1">
      <alignment horizontal="center"/>
    </xf>
    <xf numFmtId="43" fontId="15" fillId="0" borderId="0" xfId="3" applyFont="1" applyFill="1" applyBorder="1" applyAlignment="1">
      <alignment horizontal="center"/>
    </xf>
    <xf numFmtId="172" fontId="15" fillId="0" borderId="16" xfId="3" applyNumberFormat="1" applyFont="1" applyBorder="1" applyAlignment="1">
      <alignment horizontal="center"/>
    </xf>
    <xf numFmtId="0" fontId="0" fillId="0" borderId="13" xfId="0" applyBorder="1"/>
    <xf numFmtId="43" fontId="12" fillId="0" borderId="12" xfId="0" applyNumberFormat="1" applyFont="1" applyBorder="1"/>
    <xf numFmtId="43" fontId="0" fillId="0" borderId="0" xfId="0" applyNumberFormat="1"/>
    <xf numFmtId="169" fontId="20" fillId="0" borderId="0" xfId="3" applyNumberFormat="1" applyFont="1" applyFill="1" applyBorder="1" applyAlignment="1">
      <alignment horizontal="center"/>
    </xf>
    <xf numFmtId="164" fontId="3" fillId="0" borderId="0" xfId="2" applyNumberFormat="1" applyFont="1" applyBorder="1"/>
    <xf numFmtId="164" fontId="0" fillId="0" borderId="0" xfId="0" applyNumberFormat="1" applyBorder="1"/>
    <xf numFmtId="43" fontId="0" fillId="5" borderId="0" xfId="0" applyNumberFormat="1" applyFill="1" applyBorder="1"/>
    <xf numFmtId="164" fontId="3" fillId="0" borderId="0" xfId="0" applyNumberFormat="1" applyFont="1" applyBorder="1"/>
    <xf numFmtId="164" fontId="13" fillId="0" borderId="0" xfId="2" applyNumberFormat="1" applyFont="1" applyFill="1" applyBorder="1"/>
    <xf numFmtId="0" fontId="0" fillId="0" borderId="0" xfId="0" applyAlignment="1">
      <alignment horizontal="left" vertical="top" wrapText="1"/>
    </xf>
    <xf numFmtId="0" fontId="4" fillId="0" borderId="0" xfId="1" applyAlignment="1" applyProtection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14" fontId="3" fillId="0" borderId="0" xfId="0" applyNumberFormat="1" applyFont="1" applyBorder="1" applyAlignment="1">
      <alignment horizontal="left"/>
    </xf>
    <xf numFmtId="14" fontId="9" fillId="0" borderId="0" xfId="2" applyNumberFormat="1" applyFont="1"/>
    <xf numFmtId="1" fontId="9" fillId="0" borderId="0" xfId="2" applyNumberFormat="1" applyFont="1"/>
    <xf numFmtId="164" fontId="9" fillId="3" borderId="0" xfId="2" applyNumberFormat="1" applyFont="1" applyFill="1" applyBorder="1" applyProtection="1">
      <protection locked="0"/>
    </xf>
    <xf numFmtId="0" fontId="3" fillId="3" borderId="0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Border="1" applyProtection="1">
      <protection locked="0"/>
    </xf>
    <xf numFmtId="44" fontId="11" fillId="0" borderId="0" xfId="0" applyNumberFormat="1" applyFont="1" applyBorder="1" applyAlignment="1">
      <alignment vertical="center"/>
    </xf>
    <xf numFmtId="44" fontId="22" fillId="7" borderId="0" xfId="0" applyNumberFormat="1" applyFont="1" applyFill="1" applyBorder="1" applyAlignment="1">
      <alignment vertical="center"/>
    </xf>
    <xf numFmtId="0" fontId="23" fillId="7" borderId="0" xfId="0" applyFont="1" applyFill="1" applyBorder="1" applyAlignment="1">
      <alignment horizontal="center"/>
    </xf>
    <xf numFmtId="0" fontId="24" fillId="7" borderId="0" xfId="0" applyFont="1" applyFill="1" applyAlignment="1">
      <alignment horizontal="left"/>
    </xf>
    <xf numFmtId="43" fontId="24" fillId="7" borderId="0" xfId="0" applyNumberFormat="1" applyFont="1" applyFill="1"/>
    <xf numFmtId="0" fontId="19" fillId="7" borderId="0" xfId="0" applyFont="1" applyFill="1" applyAlignment="1">
      <alignment horizontal="center"/>
    </xf>
    <xf numFmtId="0" fontId="24" fillId="7" borderId="0" xfId="0" applyFont="1" applyFill="1" applyAlignment="1">
      <alignment horizontal="right"/>
    </xf>
    <xf numFmtId="43" fontId="25" fillId="7" borderId="0" xfId="0" applyNumberFormat="1" applyFont="1" applyFill="1" applyAlignment="1">
      <alignment horizontal="center"/>
    </xf>
    <xf numFmtId="0" fontId="4" fillId="0" borderId="5" xfId="1" applyBorder="1" applyAlignment="1" applyProtection="1"/>
    <xf numFmtId="0" fontId="0" fillId="0" borderId="5" xfId="0" applyFill="1" applyBorder="1"/>
    <xf numFmtId="0" fontId="3" fillId="0" borderId="7" xfId="0" applyFont="1" applyBorder="1"/>
    <xf numFmtId="44" fontId="9" fillId="0" borderId="1" xfId="2" applyFont="1" applyBorder="1"/>
    <xf numFmtId="165" fontId="14" fillId="0" borderId="1" xfId="0" applyNumberFormat="1" applyFont="1" applyFill="1" applyBorder="1" applyAlignment="1">
      <alignment horizontal="center"/>
    </xf>
    <xf numFmtId="165" fontId="15" fillId="0" borderId="1" xfId="0" applyNumberFormat="1" applyFont="1" applyFill="1" applyBorder="1" applyAlignment="1">
      <alignment horizontal="center"/>
    </xf>
    <xf numFmtId="166" fontId="14" fillId="0" borderId="8" xfId="0" applyNumberFormat="1" applyFont="1" applyFill="1" applyBorder="1" applyAlignment="1">
      <alignment horizontal="center"/>
    </xf>
    <xf numFmtId="43" fontId="9" fillId="0" borderId="6" xfId="3" applyFont="1" applyBorder="1" applyAlignment="1">
      <alignment horizontal="center"/>
    </xf>
    <xf numFmtId="0" fontId="13" fillId="0" borderId="5" xfId="0" applyFont="1" applyFill="1" applyBorder="1"/>
    <xf numFmtId="43" fontId="16" fillId="0" borderId="6" xfId="3" applyFont="1" applyFill="1" applyBorder="1" applyAlignment="1">
      <alignment horizontal="center"/>
    </xf>
    <xf numFmtId="0" fontId="3" fillId="0" borderId="5" xfId="0" applyFont="1" applyBorder="1"/>
    <xf numFmtId="43" fontId="9" fillId="0" borderId="6" xfId="3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43" fontId="15" fillId="0" borderId="8" xfId="3" applyFont="1" applyBorder="1" applyAlignment="1">
      <alignment horizontal="center"/>
    </xf>
    <xf numFmtId="43" fontId="15" fillId="0" borderId="0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3" fillId="0" borderId="8" xfId="3" applyFont="1" applyBorder="1" applyAlignment="1">
      <alignment horizontal="center"/>
    </xf>
    <xf numFmtId="44" fontId="9" fillId="0" borderId="6" xfId="2" applyFont="1" applyBorder="1"/>
    <xf numFmtId="171" fontId="15" fillId="0" borderId="1" xfId="3" applyNumberFormat="1" applyFont="1" applyBorder="1" applyAlignment="1">
      <alignment horizontal="left" indent="1"/>
    </xf>
    <xf numFmtId="0" fontId="3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center"/>
    </xf>
    <xf numFmtId="43" fontId="3" fillId="0" borderId="13" xfId="0" applyNumberFormat="1" applyFont="1" applyBorder="1" applyAlignment="1">
      <alignment horizontal="center"/>
    </xf>
    <xf numFmtId="0" fontId="26" fillId="0" borderId="5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28" fillId="0" borderId="0" xfId="1" applyFont="1" applyBorder="1" applyAlignment="1" applyProtection="1">
      <alignment horizontal="center"/>
    </xf>
    <xf numFmtId="0" fontId="0" fillId="0" borderId="0" xfId="0" applyFill="1" applyAlignment="1">
      <alignment horizontal="center"/>
    </xf>
    <xf numFmtId="43" fontId="9" fillId="2" borderId="0" xfId="3" applyFont="1" applyFill="1" applyBorder="1" applyProtection="1">
      <protection locked="0"/>
    </xf>
    <xf numFmtId="171" fontId="20" fillId="2" borderId="0" xfId="3" applyNumberFormat="1" applyFont="1" applyFill="1" applyBorder="1" applyAlignment="1" applyProtection="1">
      <alignment horizontal="center"/>
      <protection locked="0"/>
    </xf>
    <xf numFmtId="9" fontId="16" fillId="2" borderId="0" xfId="4" applyFont="1" applyFill="1" applyBorder="1" applyAlignment="1" applyProtection="1">
      <alignment horizontal="center"/>
      <protection locked="0"/>
    </xf>
    <xf numFmtId="3" fontId="0" fillId="2" borderId="0" xfId="0" applyNumberFormat="1" applyFill="1" applyBorder="1" applyAlignment="1" applyProtection="1">
      <alignment horizontal="center"/>
      <protection locked="0"/>
    </xf>
    <xf numFmtId="14" fontId="0" fillId="2" borderId="0" xfId="0" applyNumberFormat="1" applyFill="1" applyBorder="1" applyAlignment="1" applyProtection="1">
      <alignment horizontal="center"/>
      <protection locked="0"/>
    </xf>
    <xf numFmtId="0" fontId="27" fillId="2" borderId="0" xfId="0" applyFont="1" applyFill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/>
    </xf>
    <xf numFmtId="43" fontId="28" fillId="0" borderId="0" xfId="1" applyNumberFormat="1" applyFont="1" applyFill="1" applyBorder="1" applyAlignment="1" applyProtection="1">
      <alignment horizontal="center"/>
    </xf>
    <xf numFmtId="0" fontId="11" fillId="0" borderId="0" xfId="0" applyFont="1" applyBorder="1"/>
    <xf numFmtId="0" fontId="21" fillId="0" borderId="0" xfId="0" applyFont="1" applyFill="1" applyBorder="1" applyAlignment="1"/>
    <xf numFmtId="0" fontId="4" fillId="0" borderId="0" xfId="1" applyBorder="1" applyAlignment="1" applyProtection="1"/>
    <xf numFmtId="0" fontId="0" fillId="3" borderId="5" xfId="0" applyFill="1" applyBorder="1" applyAlignment="1" applyProtection="1">
      <alignment horizontal="center"/>
      <protection locked="0"/>
    </xf>
    <xf numFmtId="164" fontId="0" fillId="0" borderId="1" xfId="0" applyNumberFormat="1" applyBorder="1"/>
    <xf numFmtId="164" fontId="0" fillId="0" borderId="8" xfId="0" applyNumberFormat="1" applyBorder="1"/>
    <xf numFmtId="164" fontId="9" fillId="3" borderId="1" xfId="2" applyNumberFormat="1" applyFont="1" applyFill="1" applyBorder="1" applyProtection="1">
      <protection locked="0"/>
    </xf>
    <xf numFmtId="164" fontId="9" fillId="0" borderId="1" xfId="2" applyNumberFormat="1" applyFont="1" applyBorder="1"/>
    <xf numFmtId="164" fontId="3" fillId="0" borderId="1" xfId="2" applyNumberFormat="1" applyFont="1" applyBorder="1"/>
    <xf numFmtId="164" fontId="3" fillId="0" borderId="0" xfId="2" applyNumberFormat="1" applyFont="1" applyFill="1" applyBorder="1" applyProtection="1">
      <protection locked="0"/>
    </xf>
    <xf numFmtId="0" fontId="0" fillId="0" borderId="5" xfId="0" quotePrefix="1" applyBorder="1"/>
    <xf numFmtId="0" fontId="3" fillId="0" borderId="5" xfId="0" quotePrefix="1" applyFont="1" applyBorder="1"/>
    <xf numFmtId="164" fontId="3" fillId="3" borderId="1" xfId="2" applyNumberFormat="1" applyFont="1" applyFill="1" applyBorder="1" applyProtection="1">
      <protection locked="0"/>
    </xf>
    <xf numFmtId="0" fontId="0" fillId="5" borderId="0" xfId="0" applyFill="1"/>
    <xf numFmtId="0" fontId="29" fillId="5" borderId="0" xfId="0" applyFont="1" applyFill="1" applyAlignment="1"/>
    <xf numFmtId="0" fontId="29" fillId="0" borderId="0" xfId="0" applyFont="1" applyFill="1" applyAlignment="1"/>
    <xf numFmtId="0" fontId="4" fillId="0" borderId="0" xfId="1" applyAlignment="1" applyProtection="1">
      <alignment horizontal="center"/>
    </xf>
    <xf numFmtId="0" fontId="29" fillId="5" borderId="0" xfId="0" applyFont="1" applyFill="1" applyAlignment="1">
      <alignment horizontal="left"/>
    </xf>
    <xf numFmtId="0" fontId="4" fillId="5" borderId="0" xfId="1" applyFill="1" applyAlignment="1" applyProtection="1"/>
    <xf numFmtId="0" fontId="0" fillId="5" borderId="0" xfId="0" applyFill="1" applyBorder="1"/>
    <xf numFmtId="167" fontId="0" fillId="0" borderId="0" xfId="2" applyNumberFormat="1" applyFont="1" applyAlignment="1">
      <alignment horizontal="center"/>
    </xf>
    <xf numFmtId="44" fontId="0" fillId="0" borderId="0" xfId="2" applyFont="1" applyAlignment="1">
      <alignment horizontal="center"/>
    </xf>
    <xf numFmtId="0" fontId="0" fillId="0" borderId="0" xfId="0" applyFill="1" applyBorder="1" applyAlignment="1">
      <alignment horizontal="center"/>
    </xf>
    <xf numFmtId="0" fontId="29" fillId="0" borderId="0" xfId="0" applyFont="1" applyFill="1" applyAlignment="1">
      <alignment horizontal="left"/>
    </xf>
    <xf numFmtId="0" fontId="4" fillId="0" borderId="0" xfId="1" applyFill="1" applyAlignment="1" applyProtection="1">
      <alignment horizontal="center"/>
    </xf>
    <xf numFmtId="0" fontId="3" fillId="0" borderId="0" xfId="0" applyFont="1" applyFill="1" applyAlignment="1">
      <alignment horizontal="center"/>
    </xf>
    <xf numFmtId="0" fontId="4" fillId="0" borderId="0" xfId="1" applyFill="1" applyAlignment="1" applyProtection="1">
      <alignment horizontal="right"/>
    </xf>
    <xf numFmtId="0" fontId="21" fillId="7" borderId="0" xfId="0" applyFont="1" applyFill="1" applyAlignment="1">
      <alignment horizontal="left"/>
    </xf>
    <xf numFmtId="0" fontId="22" fillId="7" borderId="0" xfId="0" applyFont="1" applyFill="1" applyAlignment="1">
      <alignment horizontal="left"/>
    </xf>
    <xf numFmtId="0" fontId="23" fillId="7" borderId="9" xfId="0" applyFont="1" applyFill="1" applyBorder="1" applyAlignment="1">
      <alignment horizontal="left"/>
    </xf>
    <xf numFmtId="0" fontId="23" fillId="7" borderId="10" xfId="0" applyFont="1" applyFill="1" applyBorder="1" applyAlignment="1">
      <alignment horizontal="left"/>
    </xf>
    <xf numFmtId="0" fontId="23" fillId="7" borderId="11" xfId="0" applyFont="1" applyFill="1" applyBorder="1" applyAlignment="1">
      <alignment horizontal="left"/>
    </xf>
    <xf numFmtId="0" fontId="23" fillId="7" borderId="0" xfId="0" applyFont="1" applyFill="1" applyBorder="1" applyAlignment="1">
      <alignment horizontal="center"/>
    </xf>
    <xf numFmtId="44" fontId="22" fillId="7" borderId="0" xfId="2" applyFont="1" applyFill="1" applyBorder="1" applyAlignment="1">
      <alignment horizontal="center"/>
    </xf>
    <xf numFmtId="0" fontId="21" fillId="7" borderId="9" xfId="0" applyFont="1" applyFill="1" applyBorder="1" applyAlignment="1">
      <alignment horizontal="left"/>
    </xf>
    <xf numFmtId="0" fontId="21" fillId="7" borderId="10" xfId="0" applyFont="1" applyFill="1" applyBorder="1" applyAlignment="1">
      <alignment horizontal="left"/>
    </xf>
    <xf numFmtId="0" fontId="21" fillId="7" borderId="11" xfId="0" applyFont="1" applyFill="1" applyBorder="1" applyAlignment="1">
      <alignment horizontal="left"/>
    </xf>
    <xf numFmtId="0" fontId="24" fillId="7" borderId="0" xfId="0" applyFont="1" applyFill="1" applyBorder="1" applyAlignment="1">
      <alignment horizontal="left"/>
    </xf>
  </cellXfs>
  <cellStyles count="5">
    <cellStyle name="Dezimal" xfId="3" builtinId="3"/>
    <cellStyle name="Hyperlink" xfId="1" builtinId="8"/>
    <cellStyle name="Prozent" xfId="4" builtinId="5"/>
    <cellStyle name="Standard" xfId="0" builtinId="0"/>
    <cellStyle name="Währung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'III. Wertberechnung'!$B$1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Eq val="1"/>
            <c:trendlineLbl>
              <c:numFmt formatCode="General" sourceLinked="0"/>
            </c:trendlineLbl>
          </c:trendline>
          <c:xVal>
            <c:numRef>
              <c:f>'III. Wertberechnung'!$A$2:$A$112</c:f>
              <c:numCache>
                <c:formatCode>General</c:formatCode>
                <c:ptCount val="11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  <c:pt idx="53">
                  <c:v>43</c:v>
                </c:pt>
                <c:pt idx="54">
                  <c:v>44</c:v>
                </c:pt>
                <c:pt idx="55">
                  <c:v>45</c:v>
                </c:pt>
                <c:pt idx="56">
                  <c:v>46</c:v>
                </c:pt>
                <c:pt idx="57">
                  <c:v>47</c:v>
                </c:pt>
                <c:pt idx="58">
                  <c:v>48</c:v>
                </c:pt>
                <c:pt idx="59">
                  <c:v>49</c:v>
                </c:pt>
                <c:pt idx="60">
                  <c:v>50</c:v>
                </c:pt>
                <c:pt idx="61">
                  <c:v>51</c:v>
                </c:pt>
                <c:pt idx="62">
                  <c:v>52</c:v>
                </c:pt>
                <c:pt idx="63">
                  <c:v>53</c:v>
                </c:pt>
                <c:pt idx="64">
                  <c:v>54</c:v>
                </c:pt>
                <c:pt idx="65">
                  <c:v>55</c:v>
                </c:pt>
                <c:pt idx="66">
                  <c:v>56</c:v>
                </c:pt>
                <c:pt idx="67">
                  <c:v>57</c:v>
                </c:pt>
                <c:pt idx="68">
                  <c:v>58</c:v>
                </c:pt>
                <c:pt idx="69">
                  <c:v>59</c:v>
                </c:pt>
                <c:pt idx="70">
                  <c:v>60</c:v>
                </c:pt>
                <c:pt idx="71">
                  <c:v>61</c:v>
                </c:pt>
                <c:pt idx="72">
                  <c:v>62</c:v>
                </c:pt>
                <c:pt idx="73">
                  <c:v>63</c:v>
                </c:pt>
                <c:pt idx="74">
                  <c:v>64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71</c:v>
                </c:pt>
                <c:pt idx="82">
                  <c:v>72</c:v>
                </c:pt>
                <c:pt idx="83">
                  <c:v>73</c:v>
                </c:pt>
                <c:pt idx="84">
                  <c:v>74</c:v>
                </c:pt>
                <c:pt idx="85">
                  <c:v>75</c:v>
                </c:pt>
                <c:pt idx="86">
                  <c:v>76</c:v>
                </c:pt>
                <c:pt idx="87">
                  <c:v>77</c:v>
                </c:pt>
                <c:pt idx="88">
                  <c:v>78</c:v>
                </c:pt>
                <c:pt idx="89">
                  <c:v>79</c:v>
                </c:pt>
                <c:pt idx="90">
                  <c:v>80</c:v>
                </c:pt>
                <c:pt idx="91">
                  <c:v>81</c:v>
                </c:pt>
                <c:pt idx="92">
                  <c:v>82</c:v>
                </c:pt>
                <c:pt idx="93">
                  <c:v>83</c:v>
                </c:pt>
                <c:pt idx="94">
                  <c:v>84</c:v>
                </c:pt>
                <c:pt idx="95">
                  <c:v>85</c:v>
                </c:pt>
                <c:pt idx="96">
                  <c:v>86</c:v>
                </c:pt>
                <c:pt idx="97">
                  <c:v>87</c:v>
                </c:pt>
                <c:pt idx="98">
                  <c:v>88</c:v>
                </c:pt>
                <c:pt idx="99">
                  <c:v>89</c:v>
                </c:pt>
                <c:pt idx="100">
                  <c:v>90</c:v>
                </c:pt>
                <c:pt idx="101">
                  <c:v>91</c:v>
                </c:pt>
                <c:pt idx="102">
                  <c:v>92</c:v>
                </c:pt>
                <c:pt idx="103">
                  <c:v>93</c:v>
                </c:pt>
                <c:pt idx="104">
                  <c:v>94</c:v>
                </c:pt>
                <c:pt idx="105">
                  <c:v>95</c:v>
                </c:pt>
                <c:pt idx="106">
                  <c:v>96</c:v>
                </c:pt>
                <c:pt idx="107">
                  <c:v>97</c:v>
                </c:pt>
                <c:pt idx="108">
                  <c:v>98</c:v>
                </c:pt>
                <c:pt idx="109">
                  <c:v>99</c:v>
                </c:pt>
                <c:pt idx="110">
                  <c:v>100</c:v>
                </c:pt>
              </c:numCache>
            </c:numRef>
          </c:xVal>
          <c:yVal>
            <c:numRef>
              <c:f>'III. Wertberechnung'!$B$2:$B$112</c:f>
              <c:numCache>
                <c:formatCode>_-* #,##0.00\ "€"_-;\-* #,##0.00\ "€"_-;_-* "-"??\ "€"_-;_-@_-</c:formatCode>
                <c:ptCount val="111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17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80</c:v>
                </c:pt>
                <c:pt idx="16">
                  <c:v>90</c:v>
                </c:pt>
                <c:pt idx="17">
                  <c:v>100</c:v>
                </c:pt>
                <c:pt idx="18">
                  <c:v>110</c:v>
                </c:pt>
                <c:pt idx="19">
                  <c:v>120</c:v>
                </c:pt>
                <c:pt idx="20">
                  <c:v>130</c:v>
                </c:pt>
                <c:pt idx="21">
                  <c:v>140</c:v>
                </c:pt>
                <c:pt idx="22">
                  <c:v>150</c:v>
                </c:pt>
                <c:pt idx="23">
                  <c:v>165</c:v>
                </c:pt>
                <c:pt idx="24">
                  <c:v>180</c:v>
                </c:pt>
                <c:pt idx="25">
                  <c:v>200</c:v>
                </c:pt>
                <c:pt idx="26">
                  <c:v>220</c:v>
                </c:pt>
                <c:pt idx="27">
                  <c:v>240</c:v>
                </c:pt>
                <c:pt idx="28">
                  <c:v>260</c:v>
                </c:pt>
                <c:pt idx="29">
                  <c:v>290</c:v>
                </c:pt>
                <c:pt idx="30">
                  <c:v>320</c:v>
                </c:pt>
                <c:pt idx="31">
                  <c:v>350</c:v>
                </c:pt>
                <c:pt idx="32">
                  <c:v>380</c:v>
                </c:pt>
                <c:pt idx="33">
                  <c:v>410</c:v>
                </c:pt>
                <c:pt idx="34">
                  <c:v>450</c:v>
                </c:pt>
                <c:pt idx="35">
                  <c:v>500</c:v>
                </c:pt>
                <c:pt idx="36">
                  <c:v>550</c:v>
                </c:pt>
                <c:pt idx="37">
                  <c:v>600</c:v>
                </c:pt>
                <c:pt idx="38">
                  <c:v>650</c:v>
                </c:pt>
                <c:pt idx="39">
                  <c:v>700</c:v>
                </c:pt>
                <c:pt idx="40">
                  <c:v>800</c:v>
                </c:pt>
                <c:pt idx="41">
                  <c:v>900</c:v>
                </c:pt>
                <c:pt idx="42">
                  <c:v>1000</c:v>
                </c:pt>
                <c:pt idx="43">
                  <c:v>1100</c:v>
                </c:pt>
                <c:pt idx="44">
                  <c:v>1200</c:v>
                </c:pt>
                <c:pt idx="45">
                  <c:v>1300</c:v>
                </c:pt>
                <c:pt idx="46">
                  <c:v>1400</c:v>
                </c:pt>
                <c:pt idx="47">
                  <c:v>1500</c:v>
                </c:pt>
                <c:pt idx="48">
                  <c:v>1650</c:v>
                </c:pt>
                <c:pt idx="49">
                  <c:v>1800</c:v>
                </c:pt>
                <c:pt idx="50">
                  <c:v>2000</c:v>
                </c:pt>
                <c:pt idx="51">
                  <c:v>2200</c:v>
                </c:pt>
                <c:pt idx="52">
                  <c:v>2400</c:v>
                </c:pt>
                <c:pt idx="53">
                  <c:v>2650</c:v>
                </c:pt>
                <c:pt idx="54">
                  <c:v>2900</c:v>
                </c:pt>
                <c:pt idx="55">
                  <c:v>3200</c:v>
                </c:pt>
                <c:pt idx="56">
                  <c:v>3500</c:v>
                </c:pt>
                <c:pt idx="57">
                  <c:v>3800</c:v>
                </c:pt>
                <c:pt idx="58">
                  <c:v>4200</c:v>
                </c:pt>
                <c:pt idx="59">
                  <c:v>4600</c:v>
                </c:pt>
                <c:pt idx="60">
                  <c:v>5000</c:v>
                </c:pt>
                <c:pt idx="61">
                  <c:v>5500</c:v>
                </c:pt>
                <c:pt idx="62">
                  <c:v>6000</c:v>
                </c:pt>
                <c:pt idx="63">
                  <c:v>6600</c:v>
                </c:pt>
                <c:pt idx="64">
                  <c:v>7200</c:v>
                </c:pt>
                <c:pt idx="65">
                  <c:v>7900</c:v>
                </c:pt>
                <c:pt idx="66">
                  <c:v>8700</c:v>
                </c:pt>
                <c:pt idx="67">
                  <c:v>9500</c:v>
                </c:pt>
                <c:pt idx="68">
                  <c:v>10500</c:v>
                </c:pt>
                <c:pt idx="69">
                  <c:v>11500</c:v>
                </c:pt>
                <c:pt idx="70">
                  <c:v>12500</c:v>
                </c:pt>
                <c:pt idx="71">
                  <c:v>13500</c:v>
                </c:pt>
                <c:pt idx="72">
                  <c:v>15000</c:v>
                </c:pt>
                <c:pt idx="73">
                  <c:v>16500</c:v>
                </c:pt>
                <c:pt idx="74">
                  <c:v>18000</c:v>
                </c:pt>
                <c:pt idx="75">
                  <c:v>20000</c:v>
                </c:pt>
                <c:pt idx="76">
                  <c:v>22000</c:v>
                </c:pt>
                <c:pt idx="77">
                  <c:v>24000</c:v>
                </c:pt>
                <c:pt idx="78">
                  <c:v>26000</c:v>
                </c:pt>
                <c:pt idx="79">
                  <c:v>28500</c:v>
                </c:pt>
                <c:pt idx="80">
                  <c:v>31000</c:v>
                </c:pt>
                <c:pt idx="81">
                  <c:v>34000</c:v>
                </c:pt>
                <c:pt idx="82">
                  <c:v>37500</c:v>
                </c:pt>
                <c:pt idx="83">
                  <c:v>41000</c:v>
                </c:pt>
                <c:pt idx="84">
                  <c:v>45000</c:v>
                </c:pt>
                <c:pt idx="85">
                  <c:v>49000</c:v>
                </c:pt>
                <c:pt idx="86">
                  <c:v>54000</c:v>
                </c:pt>
                <c:pt idx="87">
                  <c:v>59500</c:v>
                </c:pt>
                <c:pt idx="88">
                  <c:v>65000</c:v>
                </c:pt>
                <c:pt idx="89">
                  <c:v>71000</c:v>
                </c:pt>
                <c:pt idx="90">
                  <c:v>78000</c:v>
                </c:pt>
                <c:pt idx="91">
                  <c:v>85500</c:v>
                </c:pt>
                <c:pt idx="92">
                  <c:v>93500</c:v>
                </c:pt>
                <c:pt idx="93">
                  <c:v>102500</c:v>
                </c:pt>
                <c:pt idx="94">
                  <c:v>112500</c:v>
                </c:pt>
                <c:pt idx="95">
                  <c:v>123000</c:v>
                </c:pt>
                <c:pt idx="96">
                  <c:v>135000</c:v>
                </c:pt>
                <c:pt idx="97">
                  <c:v>148000</c:v>
                </c:pt>
                <c:pt idx="98">
                  <c:v>162500</c:v>
                </c:pt>
                <c:pt idx="99">
                  <c:v>178000</c:v>
                </c:pt>
                <c:pt idx="100">
                  <c:v>195000</c:v>
                </c:pt>
                <c:pt idx="101">
                  <c:v>215000</c:v>
                </c:pt>
                <c:pt idx="102">
                  <c:v>235000</c:v>
                </c:pt>
                <c:pt idx="103">
                  <c:v>255000</c:v>
                </c:pt>
                <c:pt idx="104">
                  <c:v>280000</c:v>
                </c:pt>
                <c:pt idx="105">
                  <c:v>305000</c:v>
                </c:pt>
                <c:pt idx="106">
                  <c:v>335000</c:v>
                </c:pt>
                <c:pt idx="107">
                  <c:v>365000</c:v>
                </c:pt>
                <c:pt idx="108">
                  <c:v>400000</c:v>
                </c:pt>
                <c:pt idx="109">
                  <c:v>440000</c:v>
                </c:pt>
                <c:pt idx="110">
                  <c:v>480000</c:v>
                </c:pt>
              </c:numCache>
            </c:numRef>
          </c:yVal>
        </c:ser>
        <c:axId val="73340416"/>
        <c:axId val="73341952"/>
      </c:scatterChart>
      <c:valAx>
        <c:axId val="73340416"/>
        <c:scaling>
          <c:orientation val="minMax"/>
          <c:max val="100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341952"/>
        <c:crosses val="autoZero"/>
        <c:crossBetween val="midCat"/>
      </c:valAx>
      <c:valAx>
        <c:axId val="7334195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&quot;€&quot;_-;\-* #,##0.00\ &quot;€&quot;_-;_-* &quot;-&quot;??\ &quot;€&quot;_-;_-@_-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340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plotArea>
      <c:layout/>
      <c:scatterChart>
        <c:scatterStyle val="lineMarker"/>
        <c:ser>
          <c:idx val="1"/>
          <c:order val="0"/>
          <c:tx>
            <c:strRef>
              <c:f>'a. Backlinks-Fkt.'!$C$81</c:f>
              <c:strCache>
                <c:ptCount val="1"/>
                <c:pt idx="0">
                  <c:v>Faktor (y)</c:v>
                </c:pt>
              </c:strCache>
            </c:strRef>
          </c:tx>
          <c:spPr>
            <a:ln w="28575">
              <a:noFill/>
            </a:ln>
          </c:spPr>
          <c:trendline>
            <c:trendlineType val="log"/>
            <c:dispEq val="1"/>
            <c:trendlineLbl>
              <c:layout>
                <c:manualLayout>
                  <c:x val="-2.061042369703784E-2"/>
                  <c:y val="-5.8089695309825412E-2"/>
                </c:manualLayout>
              </c:layout>
              <c:numFmt formatCode="General" sourceLinked="0"/>
            </c:trendlineLbl>
          </c:trendline>
          <c:xVal>
            <c:numRef>
              <c:f>'a. Backlinks-Fkt.'!$B$82:$B$83</c:f>
              <c:numCache>
                <c:formatCode>General</c:formatCode>
                <c:ptCount val="2"/>
                <c:pt idx="0" formatCode="#,##0.000_ ;\-#,##0.000\ ">
                  <c:v>1</c:v>
                </c:pt>
                <c:pt idx="1">
                  <c:v>50000</c:v>
                </c:pt>
              </c:numCache>
            </c:numRef>
          </c:xVal>
          <c:yVal>
            <c:numRef>
              <c:f>'a. Backlinks-Fkt.'!$C$82:$C$83</c:f>
              <c:numCache>
                <c:formatCode>General</c:formatCode>
                <c:ptCount val="2"/>
                <c:pt idx="0" formatCode="#,##0.000_ ;\-#,##0.000\ ">
                  <c:v>0.1</c:v>
                </c:pt>
                <c:pt idx="1">
                  <c:v>10</c:v>
                </c:pt>
              </c:numCache>
            </c:numRef>
          </c:yVal>
        </c:ser>
        <c:axId val="75398144"/>
        <c:axId val="75408128"/>
      </c:scatterChart>
      <c:valAx>
        <c:axId val="75398144"/>
        <c:scaling>
          <c:orientation val="minMax"/>
          <c:max val="50000"/>
        </c:scaling>
        <c:axPos val="b"/>
        <c:numFmt formatCode="#,##0.000_ ;\-#,##0.000\ " sourceLinked="1"/>
        <c:tickLblPos val="nextTo"/>
        <c:crossAx val="75408128"/>
        <c:crosses val="autoZero"/>
        <c:crossBetween val="midCat"/>
      </c:valAx>
      <c:valAx>
        <c:axId val="75408128"/>
        <c:scaling>
          <c:orientation val="minMax"/>
        </c:scaling>
        <c:axPos val="l"/>
        <c:majorGridlines/>
        <c:numFmt formatCode="#,##0.000_ ;\-#,##0.000\ " sourceLinked="1"/>
        <c:tickLblPos val="nextTo"/>
        <c:crossAx val="7539814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plotArea>
      <c:layout/>
      <c:scatterChart>
        <c:scatterStyle val="lineMarker"/>
        <c:ser>
          <c:idx val="1"/>
          <c:order val="0"/>
          <c:tx>
            <c:strRef>
              <c:f>'a. Alter-Fkt.'!$C$8</c:f>
              <c:strCache>
                <c:ptCount val="1"/>
                <c:pt idx="0">
                  <c:v>Faktor (y)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Eq val="1"/>
            <c:trendlineLbl>
              <c:numFmt formatCode="General" sourceLinked="0"/>
            </c:trendlineLbl>
          </c:trendline>
          <c:xVal>
            <c:numRef>
              <c:f>'a. Alter-Fkt.'!$B$9:$B$10</c:f>
              <c:numCache>
                <c:formatCode>#,##0_ ;\-#,##0\ </c:formatCode>
                <c:ptCount val="2"/>
                <c:pt idx="0" formatCode="#,##0.000_ ;\-#,##0.000\ ">
                  <c:v>1</c:v>
                </c:pt>
                <c:pt idx="1">
                  <c:v>18</c:v>
                </c:pt>
              </c:numCache>
            </c:numRef>
          </c:xVal>
          <c:yVal>
            <c:numRef>
              <c:f>'a. Alter-Fkt.'!$C$9:$C$10</c:f>
              <c:numCache>
                <c:formatCode>#,##0.000_ ;\-#,##0.000\ </c:formatCode>
                <c:ptCount val="2"/>
                <c:pt idx="0">
                  <c:v>0.8</c:v>
                </c:pt>
                <c:pt idx="1">
                  <c:v>2</c:v>
                </c:pt>
              </c:numCache>
            </c:numRef>
          </c:yVal>
        </c:ser>
        <c:axId val="71292416"/>
        <c:axId val="71293952"/>
      </c:scatterChart>
      <c:valAx>
        <c:axId val="71292416"/>
        <c:scaling>
          <c:orientation val="minMax"/>
          <c:max val="18"/>
        </c:scaling>
        <c:axPos val="b"/>
        <c:numFmt formatCode="#,##0.000_ ;\-#,##0.000\ " sourceLinked="1"/>
        <c:tickLblPos val="nextTo"/>
        <c:crossAx val="71293952"/>
        <c:crosses val="autoZero"/>
        <c:crossBetween val="midCat"/>
      </c:valAx>
      <c:valAx>
        <c:axId val="71293952"/>
        <c:scaling>
          <c:orientation val="minMax"/>
        </c:scaling>
        <c:axPos val="l"/>
        <c:majorGridlines/>
        <c:numFmt formatCode="#,##0.000_ ;\-#,##0.000\ " sourceLinked="1"/>
        <c:tickLblPos val="nextTo"/>
        <c:crossAx val="7129241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plotArea>
      <c:layout/>
      <c:scatterChart>
        <c:scatterStyle val="lineMarker"/>
        <c:ser>
          <c:idx val="1"/>
          <c:order val="0"/>
          <c:tx>
            <c:strRef>
              <c:f>'CC Value-Fkt.'!$C$7</c:f>
              <c:strCache>
                <c:ptCount val="1"/>
                <c:pt idx="0">
                  <c:v>Faktor (y)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Eq val="1"/>
            <c:trendlineLbl>
              <c:layout>
                <c:manualLayout>
                  <c:x val="0.14733381054640923"/>
                  <c:y val="6.7514169424474108E-2"/>
                </c:manualLayout>
              </c:layout>
              <c:numFmt formatCode="General" sourceLinked="0"/>
            </c:trendlineLbl>
          </c:trendline>
          <c:xVal>
            <c:numRef>
              <c:f>'CC Value-Fkt.'!$B$8:$B$9</c:f>
              <c:numCache>
                <c:formatCode>#,##0_ ;\-#,##0\ 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'CC Value-Fkt.'!$C$8:$C$9</c:f>
              <c:numCache>
                <c:formatCode>#,##0.000_ ;\-#,##0.000\ </c:formatCode>
                <c:ptCount val="2"/>
                <c:pt idx="0">
                  <c:v>0.1</c:v>
                </c:pt>
                <c:pt idx="1">
                  <c:v>3</c:v>
                </c:pt>
              </c:numCache>
            </c:numRef>
          </c:yVal>
        </c:ser>
        <c:axId val="79855616"/>
        <c:axId val="79857152"/>
      </c:scatterChart>
      <c:valAx>
        <c:axId val="79855616"/>
        <c:scaling>
          <c:orientation val="minMax"/>
          <c:max val="10"/>
        </c:scaling>
        <c:axPos val="b"/>
        <c:numFmt formatCode="#,##0_ ;\-#,##0\ " sourceLinked="1"/>
        <c:tickLblPos val="nextTo"/>
        <c:crossAx val="79857152"/>
        <c:crosses val="autoZero"/>
        <c:crossBetween val="midCat"/>
      </c:valAx>
      <c:valAx>
        <c:axId val="79857152"/>
        <c:scaling>
          <c:orientation val="minMax"/>
        </c:scaling>
        <c:axPos val="l"/>
        <c:majorGridlines/>
        <c:numFmt formatCode="#,##0.000_ ;\-#,##0.000\ " sourceLinked="1"/>
        <c:tickLblPos val="nextTo"/>
        <c:crossAx val="7985561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plotArea>
      <c:layout/>
      <c:scatterChart>
        <c:scatterStyle val="lineMarker"/>
        <c:ser>
          <c:idx val="1"/>
          <c:order val="0"/>
          <c:tx>
            <c:strRef>
              <c:f>'c. User-Rot.-Fkt.'!$C$7</c:f>
              <c:strCache>
                <c:ptCount val="1"/>
                <c:pt idx="0">
                  <c:v>Faktor (y)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Eq val="1"/>
            <c:trendlineLbl>
              <c:numFmt formatCode="General" sourceLinked="0"/>
            </c:trendlineLbl>
          </c:trendline>
          <c:xVal>
            <c:numRef>
              <c:f>'c. User-Rot.-Fkt.'!$B$8:$B$9</c:f>
              <c:numCache>
                <c:formatCode>#,##0_ ;\-#,##0\ </c:formatCode>
                <c:ptCount val="2"/>
                <c:pt idx="0" formatCode="#,##0.00_ ;\-#,##0.00\ ">
                  <c:v>0.01</c:v>
                </c:pt>
                <c:pt idx="1">
                  <c:v>100</c:v>
                </c:pt>
              </c:numCache>
            </c:numRef>
          </c:xVal>
          <c:yVal>
            <c:numRef>
              <c:f>'c. User-Rot.-Fkt.'!$C$8:$C$9</c:f>
              <c:numCache>
                <c:formatCode>#,##0.000_ ;\-#,##0.000\ </c:formatCode>
                <c:ptCount val="2"/>
                <c:pt idx="0">
                  <c:v>10</c:v>
                </c:pt>
                <c:pt idx="1">
                  <c:v>0.1</c:v>
                </c:pt>
              </c:numCache>
            </c:numRef>
          </c:yVal>
        </c:ser>
        <c:axId val="79939840"/>
        <c:axId val="79953920"/>
      </c:scatterChart>
      <c:valAx>
        <c:axId val="79939840"/>
        <c:scaling>
          <c:orientation val="minMax"/>
          <c:max val="100"/>
        </c:scaling>
        <c:axPos val="b"/>
        <c:numFmt formatCode="#,##0.00_ ;\-#,##0.00\ " sourceLinked="1"/>
        <c:tickLblPos val="nextTo"/>
        <c:crossAx val="79953920"/>
        <c:crosses val="autoZero"/>
        <c:crossBetween val="midCat"/>
      </c:valAx>
      <c:valAx>
        <c:axId val="79953920"/>
        <c:scaling>
          <c:orientation val="minMax"/>
        </c:scaling>
        <c:axPos val="l"/>
        <c:majorGridlines/>
        <c:numFmt formatCode="#,##0.000_ ;\-#,##0.000\ " sourceLinked="1"/>
        <c:tickLblPos val="nextTo"/>
        <c:crossAx val="7993984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plotArea>
      <c:layout/>
      <c:scatterChart>
        <c:scatterStyle val="lineMarker"/>
        <c:ser>
          <c:idx val="1"/>
          <c:order val="0"/>
          <c:tx>
            <c:strRef>
              <c:f>'c. User-Rot.-Fkt.'!$C$33</c:f>
              <c:strCache>
                <c:ptCount val="1"/>
                <c:pt idx="0">
                  <c:v>Faktor (y)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Eq val="1"/>
            <c:trendlineLbl>
              <c:numFmt formatCode="General" sourceLinked="0"/>
            </c:trendlineLbl>
          </c:trendline>
          <c:xVal>
            <c:numRef>
              <c:f>'c. User-Rot.-Fkt.'!$B$34:$B$35</c:f>
              <c:numCache>
                <c:formatCode>#,##0_ ;\-#,##0\ </c:formatCode>
                <c:ptCount val="2"/>
                <c:pt idx="0" formatCode="#,##0.000_ ;\-#,##0.000\ ">
                  <c:v>1</c:v>
                </c:pt>
                <c:pt idx="1">
                  <c:v>3600</c:v>
                </c:pt>
              </c:numCache>
            </c:numRef>
          </c:xVal>
          <c:yVal>
            <c:numRef>
              <c:f>'c. User-Rot.-Fkt.'!$C$34:$C$35</c:f>
              <c:numCache>
                <c:formatCode>#,##0.000_ ;\-#,##0.000\ </c:formatCode>
                <c:ptCount val="2"/>
                <c:pt idx="0">
                  <c:v>0.1</c:v>
                </c:pt>
                <c:pt idx="1">
                  <c:v>10</c:v>
                </c:pt>
              </c:numCache>
            </c:numRef>
          </c:yVal>
        </c:ser>
        <c:axId val="79987072"/>
        <c:axId val="79988608"/>
      </c:scatterChart>
      <c:valAx>
        <c:axId val="79987072"/>
        <c:scaling>
          <c:orientation val="minMax"/>
          <c:max val="3600"/>
        </c:scaling>
        <c:axPos val="b"/>
        <c:numFmt formatCode="#,##0.000_ ;\-#,##0.000\ " sourceLinked="1"/>
        <c:tickLblPos val="nextTo"/>
        <c:crossAx val="79988608"/>
        <c:crosses val="autoZero"/>
        <c:crossBetween val="midCat"/>
      </c:valAx>
      <c:valAx>
        <c:axId val="79988608"/>
        <c:scaling>
          <c:orientation val="minMax"/>
        </c:scaling>
        <c:axPos val="l"/>
        <c:majorGridlines/>
        <c:numFmt formatCode="#,##0.000_ ;\-#,##0.000\ " sourceLinked="1"/>
        <c:tickLblPos val="nextTo"/>
        <c:crossAx val="7998707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plotArea>
      <c:layout/>
      <c:scatterChart>
        <c:scatterStyle val="lineMarker"/>
        <c:ser>
          <c:idx val="1"/>
          <c:order val="0"/>
          <c:tx>
            <c:strRef>
              <c:f>'c. User-Rot.-Fkt.'!$C$55</c:f>
              <c:strCache>
                <c:ptCount val="1"/>
                <c:pt idx="0">
                  <c:v>Faktor (y)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2"/>
            <c:dispEq val="1"/>
            <c:trendlineLbl>
              <c:layout>
                <c:manualLayout>
                  <c:x val="3.5658042744656962E-2"/>
                  <c:y val="-0.70287699544803273"/>
                </c:manualLayout>
              </c:layout>
              <c:numFmt formatCode="General" sourceLinked="0"/>
            </c:trendlineLbl>
          </c:trendline>
          <c:xVal>
            <c:numRef>
              <c:f>'c. User-Rot.-Fkt.'!$B$56:$B$58</c:f>
              <c:numCache>
                <c:formatCode>#,##0_ ;\-#,##0\ </c:formatCode>
                <c:ptCount val="3"/>
                <c:pt idx="0" formatCode="#,##0.000_ ;\-#,##0.000\ ">
                  <c:v>0.01</c:v>
                </c:pt>
                <c:pt idx="1">
                  <c:v>50</c:v>
                </c:pt>
                <c:pt idx="2" formatCode="General">
                  <c:v>100</c:v>
                </c:pt>
              </c:numCache>
            </c:numRef>
          </c:xVal>
          <c:yVal>
            <c:numRef>
              <c:f>'c. User-Rot.-Fkt.'!$C$56:$C$58</c:f>
              <c:numCache>
                <c:formatCode>#,##0.000_ ;\-#,##0.000\ </c:formatCode>
                <c:ptCount val="3"/>
                <c:pt idx="0">
                  <c:v>0.1</c:v>
                </c:pt>
                <c:pt idx="1">
                  <c:v>10</c:v>
                </c:pt>
                <c:pt idx="2" formatCode="General">
                  <c:v>0.1</c:v>
                </c:pt>
              </c:numCache>
            </c:numRef>
          </c:yVal>
        </c:ser>
        <c:axId val="80009472"/>
        <c:axId val="80011264"/>
      </c:scatterChart>
      <c:valAx>
        <c:axId val="80009472"/>
        <c:scaling>
          <c:orientation val="minMax"/>
          <c:max val="100"/>
        </c:scaling>
        <c:axPos val="b"/>
        <c:numFmt formatCode="#,##0.000_ ;\-#,##0.000\ " sourceLinked="1"/>
        <c:tickLblPos val="nextTo"/>
        <c:crossAx val="80011264"/>
        <c:crosses val="autoZero"/>
        <c:crossBetween val="midCat"/>
      </c:valAx>
      <c:valAx>
        <c:axId val="80011264"/>
        <c:scaling>
          <c:orientation val="minMax"/>
        </c:scaling>
        <c:axPos val="l"/>
        <c:majorGridlines/>
        <c:numFmt formatCode="#,##0.000_ ;\-#,##0.000\ " sourceLinked="1"/>
        <c:tickLblPos val="nextTo"/>
        <c:crossAx val="8000947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plotArea>
      <c:layout/>
      <c:scatterChart>
        <c:scatterStyle val="lineMarker"/>
        <c:ser>
          <c:idx val="1"/>
          <c:order val="0"/>
          <c:tx>
            <c:strRef>
              <c:f>'b. User-Umsatz-Fkt.'!$C$8</c:f>
              <c:strCache>
                <c:ptCount val="1"/>
                <c:pt idx="0">
                  <c:v>Faktor (y)</c:v>
                </c:pt>
              </c:strCache>
            </c:strRef>
          </c:tx>
          <c:spPr>
            <a:ln w="28575">
              <a:noFill/>
            </a:ln>
          </c:spPr>
          <c:trendline>
            <c:trendlineType val="log"/>
            <c:dispEq val="1"/>
            <c:trendlineLbl>
              <c:numFmt formatCode="General" sourceLinked="0"/>
            </c:trendlineLbl>
          </c:trendline>
          <c:xVal>
            <c:numRef>
              <c:f>'b. User-Umsatz-Fkt.'!$B$9:$B$10</c:f>
              <c:numCache>
                <c:formatCode>#,##0_ ;\-#,##0\ </c:formatCode>
                <c:ptCount val="2"/>
                <c:pt idx="0" formatCode="#,##0.000_ ;\-#,##0.000\ ">
                  <c:v>1E-3</c:v>
                </c:pt>
                <c:pt idx="1">
                  <c:v>100</c:v>
                </c:pt>
              </c:numCache>
            </c:numRef>
          </c:xVal>
          <c:yVal>
            <c:numRef>
              <c:f>'b. User-Umsatz-Fkt.'!$C$9:$C$10</c:f>
              <c:numCache>
                <c:formatCode>#,##0.000_ ;\-#,##0.000\ </c:formatCode>
                <c:ptCount val="2"/>
                <c:pt idx="0">
                  <c:v>9.9999999999999995E-7</c:v>
                </c:pt>
                <c:pt idx="1">
                  <c:v>10</c:v>
                </c:pt>
              </c:numCache>
            </c:numRef>
          </c:yVal>
        </c:ser>
        <c:axId val="80077568"/>
        <c:axId val="80079104"/>
      </c:scatterChart>
      <c:valAx>
        <c:axId val="80077568"/>
        <c:scaling>
          <c:orientation val="minMax"/>
          <c:max val="100"/>
        </c:scaling>
        <c:axPos val="b"/>
        <c:numFmt formatCode="#,##0.000_ ;\-#,##0.000\ " sourceLinked="1"/>
        <c:tickLblPos val="nextTo"/>
        <c:crossAx val="80079104"/>
        <c:crosses val="autoZero"/>
        <c:crossBetween val="midCat"/>
      </c:valAx>
      <c:valAx>
        <c:axId val="80079104"/>
        <c:scaling>
          <c:orientation val="minMax"/>
        </c:scaling>
        <c:axPos val="l"/>
        <c:majorGridlines/>
        <c:numFmt formatCode="#,##0.000_ ;\-#,##0.000\ " sourceLinked="1"/>
        <c:tickLblPos val="nextTo"/>
        <c:crossAx val="8007756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plotArea>
      <c:layout/>
      <c:scatterChart>
        <c:scatterStyle val="lineMarker"/>
        <c:ser>
          <c:idx val="1"/>
          <c:order val="0"/>
          <c:tx>
            <c:strRef>
              <c:f>'Sistrix-Fkt.'!$C$7</c:f>
              <c:strCache>
                <c:ptCount val="1"/>
                <c:pt idx="0">
                  <c:v>Faktor (y)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Eq val="1"/>
            <c:trendlineLbl>
              <c:numFmt formatCode="General" sourceLinked="0"/>
            </c:trendlineLbl>
          </c:trendline>
          <c:trendline>
            <c:trendlineType val="linear"/>
          </c:trendline>
          <c:xVal>
            <c:numRef>
              <c:f>'Sistrix-Fkt.'!$B$8:$B$9</c:f>
              <c:numCache>
                <c:formatCode>#,##0_ ;\-#,##0\ </c:formatCode>
                <c:ptCount val="2"/>
                <c:pt idx="0">
                  <c:v>1E-3</c:v>
                </c:pt>
                <c:pt idx="1">
                  <c:v>7000</c:v>
                </c:pt>
              </c:numCache>
            </c:numRef>
          </c:xVal>
          <c:yVal>
            <c:numRef>
              <c:f>'Sistrix-Fkt.'!$C$8:$C$9</c:f>
              <c:numCache>
                <c:formatCode>#,##0.000_ ;\-#,##0.000\ 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yVal>
        </c:ser>
        <c:axId val="80158720"/>
        <c:axId val="80160256"/>
      </c:scatterChart>
      <c:valAx>
        <c:axId val="80158720"/>
        <c:scaling>
          <c:orientation val="minMax"/>
          <c:max val="7000"/>
        </c:scaling>
        <c:axPos val="b"/>
        <c:numFmt formatCode="#,##0_ ;\-#,##0\ " sourceLinked="1"/>
        <c:tickLblPos val="nextTo"/>
        <c:crossAx val="80160256"/>
        <c:crosses val="autoZero"/>
        <c:crossBetween val="midCat"/>
      </c:valAx>
      <c:valAx>
        <c:axId val="80160256"/>
        <c:scaling>
          <c:orientation val="minMax"/>
        </c:scaling>
        <c:axPos val="l"/>
        <c:majorGridlines/>
        <c:numFmt formatCode="#,##0.000_ ;\-#,##0.000\ " sourceLinked="1"/>
        <c:tickLblPos val="nextTo"/>
        <c:crossAx val="80158720"/>
        <c:crosses val="autoZero"/>
        <c:crossBetween val="midCat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plotArea>
      <c:layout/>
      <c:scatterChart>
        <c:scatterStyle val="lineMarker"/>
        <c:ser>
          <c:idx val="1"/>
          <c:order val="0"/>
          <c:tx>
            <c:strRef>
              <c:f>'a. User-Fkt.'!$C$7</c:f>
              <c:strCache>
                <c:ptCount val="1"/>
                <c:pt idx="0">
                  <c:v>Faktor (y)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Eq val="1"/>
            <c:trendlineLbl>
              <c:numFmt formatCode="General" sourceLinked="0"/>
            </c:trendlineLbl>
          </c:trendline>
          <c:xVal>
            <c:numRef>
              <c:f>'a. User-Fkt.'!$B$8:$B$9</c:f>
              <c:numCache>
                <c:formatCode>#,##0_ ;\-#,##0\ </c:formatCode>
                <c:ptCount val="2"/>
                <c:pt idx="0">
                  <c:v>1</c:v>
                </c:pt>
                <c:pt idx="1">
                  <c:v>50000000</c:v>
                </c:pt>
              </c:numCache>
            </c:numRef>
          </c:xVal>
          <c:yVal>
            <c:numRef>
              <c:f>'a. User-Fkt.'!$C$8:$C$9</c:f>
              <c:numCache>
                <c:formatCode>#,##0.000_ ;\-#,##0.000\ 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yVal>
        </c:ser>
        <c:axId val="71723264"/>
        <c:axId val="71729152"/>
      </c:scatterChart>
      <c:valAx>
        <c:axId val="71723264"/>
        <c:scaling>
          <c:orientation val="minMax"/>
          <c:max val="50000000"/>
        </c:scaling>
        <c:axPos val="b"/>
        <c:numFmt formatCode="#,##0_ ;\-#,##0\ " sourceLinked="1"/>
        <c:tickLblPos val="nextTo"/>
        <c:crossAx val="71729152"/>
        <c:crosses val="autoZero"/>
        <c:crossBetween val="midCat"/>
      </c:valAx>
      <c:valAx>
        <c:axId val="71729152"/>
        <c:scaling>
          <c:orientation val="minMax"/>
        </c:scaling>
        <c:axPos val="l"/>
        <c:majorGridlines/>
        <c:numFmt formatCode="#,##0.000_ ;\-#,##0.000\ " sourceLinked="1"/>
        <c:tickLblPos val="nextTo"/>
        <c:crossAx val="7172326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plotArea>
      <c:layout/>
      <c:scatterChart>
        <c:scatterStyle val="lineMarker"/>
        <c:ser>
          <c:idx val="1"/>
          <c:order val="0"/>
          <c:tx>
            <c:strRef>
              <c:f>'a. User-Fkt.'!$C$29</c:f>
              <c:strCache>
                <c:ptCount val="1"/>
                <c:pt idx="0">
                  <c:v>Faktor (y)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Eq val="1"/>
            <c:trendlineLbl>
              <c:numFmt formatCode="General" sourceLinked="0"/>
            </c:trendlineLbl>
          </c:trendline>
          <c:xVal>
            <c:numRef>
              <c:f>'a. User-Fkt.'!$B$30:$B$31</c:f>
              <c:numCache>
                <c:formatCode>#,##0_ ;\-#,##0\ </c:formatCode>
                <c:ptCount val="2"/>
                <c:pt idx="0">
                  <c:v>1</c:v>
                </c:pt>
                <c:pt idx="1">
                  <c:v>1000000000</c:v>
                </c:pt>
              </c:numCache>
            </c:numRef>
          </c:xVal>
          <c:yVal>
            <c:numRef>
              <c:f>'a. User-Fkt.'!$C$30:$C$31</c:f>
              <c:numCache>
                <c:formatCode>#,##0.000_ ;\-#,##0.000\ 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yVal>
        </c:ser>
        <c:axId val="73392512"/>
        <c:axId val="73394048"/>
      </c:scatterChart>
      <c:valAx>
        <c:axId val="73392512"/>
        <c:scaling>
          <c:orientation val="minMax"/>
          <c:max val="1000000000"/>
        </c:scaling>
        <c:axPos val="b"/>
        <c:numFmt formatCode="#,##0_ ;\-#,##0\ " sourceLinked="1"/>
        <c:tickLblPos val="nextTo"/>
        <c:crossAx val="73394048"/>
        <c:crosses val="autoZero"/>
        <c:crossBetween val="midCat"/>
      </c:valAx>
      <c:valAx>
        <c:axId val="73394048"/>
        <c:scaling>
          <c:orientation val="minMax"/>
        </c:scaling>
        <c:axPos val="l"/>
        <c:majorGridlines/>
        <c:numFmt formatCode="#,##0.000_ ;\-#,##0.000\ " sourceLinked="1"/>
        <c:tickLblPos val="nextTo"/>
        <c:crossAx val="7339251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plotArea>
      <c:layout/>
      <c:scatterChart>
        <c:scatterStyle val="lineMarker"/>
        <c:ser>
          <c:idx val="1"/>
          <c:order val="0"/>
          <c:tx>
            <c:strRef>
              <c:f>'a. onpage-Fkt.'!$C$7</c:f>
              <c:strCache>
                <c:ptCount val="1"/>
                <c:pt idx="0">
                  <c:v>Faktor (y)</c:v>
                </c:pt>
              </c:strCache>
            </c:strRef>
          </c:tx>
          <c:spPr>
            <a:ln w="28575">
              <a:noFill/>
            </a:ln>
          </c:spPr>
          <c:trendline>
            <c:trendlineType val="log"/>
            <c:dispEq val="1"/>
            <c:trendlineLbl>
              <c:numFmt formatCode="General" sourceLinked="0"/>
            </c:trendlineLbl>
          </c:trendline>
          <c:xVal>
            <c:numRef>
              <c:f>'a. onpage-Fkt.'!$B$8:$B$9</c:f>
              <c:numCache>
                <c:formatCode>#,##0_ ;\-#,##0\ </c:formatCode>
                <c:ptCount val="2"/>
                <c:pt idx="0" formatCode="#,##0.00_ ;\-#,##0.00\ ">
                  <c:v>1</c:v>
                </c:pt>
                <c:pt idx="1">
                  <c:v>300</c:v>
                </c:pt>
              </c:numCache>
            </c:numRef>
          </c:xVal>
          <c:yVal>
            <c:numRef>
              <c:f>'a. onpage-Fkt.'!$C$8:$C$9</c:f>
              <c:numCache>
                <c:formatCode>#,##0.000_ ;\-#,##0.000\ </c:formatCode>
                <c:ptCount val="2"/>
                <c:pt idx="0">
                  <c:v>1E-4</c:v>
                </c:pt>
                <c:pt idx="1">
                  <c:v>1</c:v>
                </c:pt>
              </c:numCache>
            </c:numRef>
          </c:yVal>
        </c:ser>
        <c:axId val="75114752"/>
        <c:axId val="75116544"/>
      </c:scatterChart>
      <c:valAx>
        <c:axId val="75114752"/>
        <c:scaling>
          <c:orientation val="minMax"/>
          <c:max val="300"/>
        </c:scaling>
        <c:axPos val="b"/>
        <c:numFmt formatCode="#,##0.00_ ;\-#,##0.00\ " sourceLinked="1"/>
        <c:tickLblPos val="nextTo"/>
        <c:crossAx val="75116544"/>
        <c:crosses val="autoZero"/>
        <c:crossBetween val="midCat"/>
      </c:valAx>
      <c:valAx>
        <c:axId val="75116544"/>
        <c:scaling>
          <c:orientation val="minMax"/>
        </c:scaling>
        <c:axPos val="l"/>
        <c:majorGridlines/>
        <c:numFmt formatCode="#,##0.000_ ;\-#,##0.000\ " sourceLinked="1"/>
        <c:tickLblPos val="nextTo"/>
        <c:crossAx val="7511475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plotArea>
      <c:layout/>
      <c:scatterChart>
        <c:scatterStyle val="lineMarker"/>
        <c:ser>
          <c:idx val="1"/>
          <c:order val="0"/>
          <c:tx>
            <c:strRef>
              <c:f>'a. onpage-Fkt.'!$C$51</c:f>
              <c:strCache>
                <c:ptCount val="1"/>
                <c:pt idx="0">
                  <c:v>Faktor (y)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Eq val="1"/>
            <c:trendlineLbl>
              <c:numFmt formatCode="General" sourceLinked="0"/>
            </c:trendlineLbl>
          </c:trendline>
          <c:xVal>
            <c:numRef>
              <c:f>'a. onpage-Fkt.'!$B$52:$B$53</c:f>
              <c:numCache>
                <c:formatCode>#,##0_ ;\-#,##0\ </c:formatCode>
                <c:ptCount val="2"/>
                <c:pt idx="0" formatCode="#,##0.000_ ;\-#,##0.000\ ">
                  <c:v>0.01</c:v>
                </c:pt>
                <c:pt idx="1">
                  <c:v>100000</c:v>
                </c:pt>
              </c:numCache>
            </c:numRef>
          </c:xVal>
          <c:yVal>
            <c:numRef>
              <c:f>'a. onpage-Fkt.'!$C$52:$C$53</c:f>
              <c:numCache>
                <c:formatCode>#,##0.000_ ;\-#,##0.000\ </c:formatCode>
                <c:ptCount val="2"/>
                <c:pt idx="0">
                  <c:v>0.1</c:v>
                </c:pt>
                <c:pt idx="1">
                  <c:v>10</c:v>
                </c:pt>
              </c:numCache>
            </c:numRef>
          </c:yVal>
        </c:ser>
        <c:axId val="75145600"/>
        <c:axId val="75147136"/>
      </c:scatterChart>
      <c:valAx>
        <c:axId val="75145600"/>
        <c:scaling>
          <c:orientation val="minMax"/>
          <c:max val="100000"/>
        </c:scaling>
        <c:axPos val="b"/>
        <c:numFmt formatCode="#,##0.000_ ;\-#,##0.000\ " sourceLinked="1"/>
        <c:tickLblPos val="nextTo"/>
        <c:crossAx val="75147136"/>
        <c:crosses val="autoZero"/>
        <c:crossBetween val="midCat"/>
      </c:valAx>
      <c:valAx>
        <c:axId val="75147136"/>
        <c:scaling>
          <c:orientation val="minMax"/>
        </c:scaling>
        <c:axPos val="l"/>
        <c:majorGridlines/>
        <c:numFmt formatCode="#,##0.000_ ;\-#,##0.000\ " sourceLinked="1"/>
        <c:tickLblPos val="nextTo"/>
        <c:crossAx val="7514560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plotArea>
      <c:layout/>
      <c:scatterChart>
        <c:scatterStyle val="lineMarker"/>
        <c:ser>
          <c:idx val="1"/>
          <c:order val="0"/>
          <c:tx>
            <c:strRef>
              <c:f>'a. onpage-Fkt.'!$C$72</c:f>
              <c:strCache>
                <c:ptCount val="1"/>
                <c:pt idx="0">
                  <c:v>Faktor (y)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Eq val="1"/>
            <c:trendlineLbl>
              <c:layout>
                <c:manualLayout>
                  <c:x val="3.5658042744656976E-2"/>
                  <c:y val="-0.70287699544803273"/>
                </c:manualLayout>
              </c:layout>
              <c:numFmt formatCode="General" sourceLinked="0"/>
            </c:trendlineLbl>
          </c:trendline>
          <c:xVal>
            <c:numRef>
              <c:f>'a. onpage-Fkt.'!$B$73:$B$74</c:f>
              <c:numCache>
                <c:formatCode>General</c:formatCode>
                <c:ptCount val="2"/>
                <c:pt idx="0" formatCode="#,##0.000_ ;\-#,##0.000\ ">
                  <c:v>0.01</c:v>
                </c:pt>
                <c:pt idx="1">
                  <c:v>100</c:v>
                </c:pt>
              </c:numCache>
            </c:numRef>
          </c:xVal>
          <c:yVal>
            <c:numRef>
              <c:f>'a. onpage-Fkt.'!$C$73:$C$74</c:f>
              <c:numCache>
                <c:formatCode>General</c:formatCode>
                <c:ptCount val="2"/>
                <c:pt idx="0" formatCode="#,##0.000_ ;\-#,##0.000\ ">
                  <c:v>0.1</c:v>
                </c:pt>
                <c:pt idx="1">
                  <c:v>10</c:v>
                </c:pt>
              </c:numCache>
            </c:numRef>
          </c:yVal>
        </c:ser>
        <c:axId val="75159808"/>
        <c:axId val="75264000"/>
      </c:scatterChart>
      <c:valAx>
        <c:axId val="75159808"/>
        <c:scaling>
          <c:orientation val="minMax"/>
          <c:max val="100"/>
        </c:scaling>
        <c:axPos val="b"/>
        <c:numFmt formatCode="#,##0.000_ ;\-#,##0.000\ " sourceLinked="1"/>
        <c:tickLblPos val="nextTo"/>
        <c:crossAx val="75264000"/>
        <c:crosses val="autoZero"/>
        <c:crossBetween val="midCat"/>
      </c:valAx>
      <c:valAx>
        <c:axId val="75264000"/>
        <c:scaling>
          <c:orientation val="minMax"/>
        </c:scaling>
        <c:axPos val="l"/>
        <c:majorGridlines/>
        <c:numFmt formatCode="#,##0.000_ ;\-#,##0.000\ " sourceLinked="1"/>
        <c:tickLblPos val="nextTo"/>
        <c:crossAx val="75159808"/>
        <c:crosses val="autoZero"/>
        <c:crossBetween val="midCat"/>
      </c:valAx>
    </c:plotArea>
    <c:legend>
      <c:legendPos val="r"/>
      <c:legendEntry>
        <c:idx val="1"/>
        <c:delete val="1"/>
      </c:legendEntry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plotArea>
      <c:layout/>
      <c:scatterChart>
        <c:scatterStyle val="lineMarker"/>
        <c:ser>
          <c:idx val="1"/>
          <c:order val="0"/>
          <c:tx>
            <c:strRef>
              <c:f>'a. Backlinks-Fkt.'!$C$7</c:f>
              <c:strCache>
                <c:ptCount val="1"/>
                <c:pt idx="0">
                  <c:v>Faktor (y)</c:v>
                </c:pt>
              </c:strCache>
            </c:strRef>
          </c:tx>
          <c:spPr>
            <a:ln w="28575">
              <a:noFill/>
            </a:ln>
          </c:spPr>
          <c:trendline>
            <c:trendlineType val="log"/>
            <c:dispEq val="1"/>
            <c:trendlineLbl>
              <c:layout>
                <c:manualLayout>
                  <c:x val="-4.8666734839963317E-2"/>
                  <c:y val="-5.8089695309825412E-2"/>
                </c:manualLayout>
              </c:layout>
              <c:numFmt formatCode="General" sourceLinked="0"/>
            </c:trendlineLbl>
          </c:trendline>
          <c:xVal>
            <c:numRef>
              <c:f>'a. Backlinks-Fkt.'!$B$8:$B$9</c:f>
              <c:numCache>
                <c:formatCode>#,##0_ ;\-#,##0\ </c:formatCode>
                <c:ptCount val="2"/>
                <c:pt idx="0" formatCode="#,##0.00_ ;\-#,##0.00\ ">
                  <c:v>1</c:v>
                </c:pt>
                <c:pt idx="1">
                  <c:v>1000000</c:v>
                </c:pt>
              </c:numCache>
            </c:numRef>
          </c:xVal>
          <c:yVal>
            <c:numRef>
              <c:f>'a. Backlinks-Fkt.'!$C$8:$C$9</c:f>
              <c:numCache>
                <c:formatCode>#,##0.000_ ;\-#,##0.000\ </c:formatCode>
                <c:ptCount val="2"/>
                <c:pt idx="0">
                  <c:v>0.1</c:v>
                </c:pt>
                <c:pt idx="1">
                  <c:v>10</c:v>
                </c:pt>
              </c:numCache>
            </c:numRef>
          </c:yVal>
        </c:ser>
        <c:axId val="75297920"/>
        <c:axId val="75299456"/>
      </c:scatterChart>
      <c:valAx>
        <c:axId val="75297920"/>
        <c:scaling>
          <c:orientation val="minMax"/>
          <c:max val="1000000"/>
        </c:scaling>
        <c:axPos val="b"/>
        <c:numFmt formatCode="#,##0.00_ ;\-#,##0.00\ " sourceLinked="1"/>
        <c:tickLblPos val="nextTo"/>
        <c:crossAx val="75299456"/>
        <c:crosses val="autoZero"/>
        <c:crossBetween val="midCat"/>
      </c:valAx>
      <c:valAx>
        <c:axId val="75299456"/>
        <c:scaling>
          <c:orientation val="minMax"/>
          <c:max val="10"/>
        </c:scaling>
        <c:axPos val="l"/>
        <c:majorGridlines/>
        <c:numFmt formatCode="#,##0.000_ ;\-#,##0.000\ " sourceLinked="1"/>
        <c:tickLblPos val="nextTo"/>
        <c:crossAx val="7529792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plotArea>
      <c:layout/>
      <c:scatterChart>
        <c:scatterStyle val="lineMarker"/>
        <c:ser>
          <c:idx val="1"/>
          <c:order val="0"/>
          <c:tx>
            <c:strRef>
              <c:f>'a. Backlinks-Fkt.'!$C$33</c:f>
              <c:strCache>
                <c:ptCount val="1"/>
                <c:pt idx="0">
                  <c:v>Faktor (y)</c:v>
                </c:pt>
              </c:strCache>
            </c:strRef>
          </c:tx>
          <c:spPr>
            <a:ln w="28575">
              <a:noFill/>
            </a:ln>
          </c:spPr>
          <c:trendline>
            <c:trendlineType val="log"/>
            <c:dispEq val="1"/>
            <c:trendlineLbl>
              <c:numFmt formatCode="General" sourceLinked="0"/>
            </c:trendlineLbl>
          </c:trendline>
          <c:xVal>
            <c:numRef>
              <c:f>'a. Backlinks-Fkt.'!$B$34:$B$35</c:f>
              <c:numCache>
                <c:formatCode>#,##0_ ;\-#,##0\ </c:formatCode>
                <c:ptCount val="2"/>
                <c:pt idx="0" formatCode="#,##0.000_ ;\-#,##0.000\ ">
                  <c:v>1</c:v>
                </c:pt>
                <c:pt idx="1">
                  <c:v>100000</c:v>
                </c:pt>
              </c:numCache>
            </c:numRef>
          </c:xVal>
          <c:yVal>
            <c:numRef>
              <c:f>'a. Backlinks-Fkt.'!$C$34:$C$35</c:f>
              <c:numCache>
                <c:formatCode>#,##0.000_ ;\-#,##0.000\ </c:formatCode>
                <c:ptCount val="2"/>
                <c:pt idx="0">
                  <c:v>0.1</c:v>
                </c:pt>
                <c:pt idx="1">
                  <c:v>10</c:v>
                </c:pt>
              </c:numCache>
            </c:numRef>
          </c:yVal>
        </c:ser>
        <c:axId val="75197440"/>
        <c:axId val="75207424"/>
      </c:scatterChart>
      <c:valAx>
        <c:axId val="75197440"/>
        <c:scaling>
          <c:orientation val="minMax"/>
          <c:max val="100000"/>
        </c:scaling>
        <c:axPos val="b"/>
        <c:numFmt formatCode="#,##0.000_ ;\-#,##0.000\ " sourceLinked="1"/>
        <c:tickLblPos val="nextTo"/>
        <c:crossAx val="75207424"/>
        <c:crosses val="autoZero"/>
        <c:crossBetween val="midCat"/>
      </c:valAx>
      <c:valAx>
        <c:axId val="75207424"/>
        <c:scaling>
          <c:orientation val="minMax"/>
        </c:scaling>
        <c:axPos val="l"/>
        <c:majorGridlines/>
        <c:numFmt formatCode="#,##0.000_ ;\-#,##0.000\ " sourceLinked="1"/>
        <c:tickLblPos val="nextTo"/>
        <c:crossAx val="7519744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/>
    <c:plotArea>
      <c:layout/>
      <c:scatterChart>
        <c:scatterStyle val="lineMarker"/>
        <c:ser>
          <c:idx val="1"/>
          <c:order val="0"/>
          <c:tx>
            <c:strRef>
              <c:f>'a. Backlinks-Fkt.'!$C$54</c:f>
              <c:strCache>
                <c:ptCount val="1"/>
                <c:pt idx="0">
                  <c:v>Faktor (y)</c:v>
                </c:pt>
              </c:strCache>
            </c:strRef>
          </c:tx>
          <c:spPr>
            <a:ln w="28575">
              <a:noFill/>
            </a:ln>
          </c:spPr>
          <c:trendline>
            <c:trendlineType val="log"/>
            <c:dispEq val="1"/>
            <c:trendlineLbl>
              <c:numFmt formatCode="General" sourceLinked="0"/>
            </c:trendlineLbl>
          </c:trendline>
          <c:xVal>
            <c:numRef>
              <c:f>'a. Backlinks-Fkt.'!$B$55:$B$56</c:f>
              <c:numCache>
                <c:formatCode>General</c:formatCode>
                <c:ptCount val="2"/>
                <c:pt idx="0" formatCode="#,##0.000_ ;\-#,##0.000\ ">
                  <c:v>1</c:v>
                </c:pt>
                <c:pt idx="1">
                  <c:v>100000</c:v>
                </c:pt>
              </c:numCache>
            </c:numRef>
          </c:xVal>
          <c:yVal>
            <c:numRef>
              <c:f>'a. Backlinks-Fkt.'!$C$55:$C$56</c:f>
              <c:numCache>
                <c:formatCode>General</c:formatCode>
                <c:ptCount val="2"/>
                <c:pt idx="0" formatCode="#,##0.000_ ;\-#,##0.000\ ">
                  <c:v>0.1</c:v>
                </c:pt>
                <c:pt idx="1">
                  <c:v>10</c:v>
                </c:pt>
              </c:numCache>
            </c:numRef>
          </c:yVal>
        </c:ser>
        <c:axId val="75367552"/>
        <c:axId val="75369088"/>
      </c:scatterChart>
      <c:valAx>
        <c:axId val="75367552"/>
        <c:scaling>
          <c:orientation val="minMax"/>
          <c:max val="100000"/>
        </c:scaling>
        <c:axPos val="b"/>
        <c:numFmt formatCode="#,##0.000_ ;\-#,##0.000\ " sourceLinked="1"/>
        <c:tickLblPos val="nextTo"/>
        <c:crossAx val="75369088"/>
        <c:crosses val="autoZero"/>
        <c:crossBetween val="midCat"/>
      </c:valAx>
      <c:valAx>
        <c:axId val="75369088"/>
        <c:scaling>
          <c:orientation val="minMax"/>
        </c:scaling>
        <c:axPos val="l"/>
        <c:majorGridlines/>
        <c:numFmt formatCode="#,##0.000_ ;\-#,##0.000\ " sourceLinked="1"/>
        <c:tickLblPos val="nextTo"/>
        <c:crossAx val="7536755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gruenderlexikon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gruenderlexikon.de" TargetMode="External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gruenderlexikon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gruenderlexikon.de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gruenderlexikon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gruenderlexikon.de" TargetMode="Externa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gruenderlexikon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gruenderlexikon.de" TargetMode="Externa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180976</xdr:colOff>
      <xdr:row>14</xdr:row>
      <xdr:rowOff>180974</xdr:rowOff>
    </xdr:from>
    <xdr:to>
      <xdr:col>7</xdr:col>
      <xdr:colOff>142878</xdr:colOff>
      <xdr:row>18</xdr:row>
      <xdr:rowOff>114303</xdr:rowOff>
    </xdr:to>
    <xdr:cxnSp macro="">
      <xdr:nvCxnSpPr>
        <xdr:cNvPr id="3" name="Gewinkelte Verbindung 2"/>
        <xdr:cNvCxnSpPr/>
      </xdr:nvCxnSpPr>
      <xdr:spPr>
        <a:xfrm>
          <a:off x="4895851" y="3143249"/>
          <a:ext cx="933452" cy="695329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342900</xdr:colOff>
      <xdr:row>0</xdr:row>
      <xdr:rowOff>0</xdr:rowOff>
    </xdr:from>
    <xdr:to>
      <xdr:col>8</xdr:col>
      <xdr:colOff>1352694</xdr:colOff>
      <xdr:row>1</xdr:row>
      <xdr:rowOff>100725</xdr:rowOff>
    </xdr:to>
    <xdr:pic>
      <xdr:nvPicPr>
        <xdr:cNvPr id="6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2362344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1066800</xdr:colOff>
      <xdr:row>1</xdr:row>
      <xdr:rowOff>76200</xdr:rowOff>
    </xdr:from>
    <xdr:to>
      <xdr:col>8</xdr:col>
      <xdr:colOff>1390800</xdr:colOff>
      <xdr:row>3</xdr:row>
      <xdr:rowOff>19200</xdr:rowOff>
    </xdr:to>
    <xdr:pic>
      <xdr:nvPicPr>
        <xdr:cNvPr id="7" name="Рисунок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24775" y="371475"/>
          <a:ext cx="324000" cy="324000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7</xdr:row>
      <xdr:rowOff>114300</xdr:rowOff>
    </xdr:from>
    <xdr:to>
      <xdr:col>8</xdr:col>
      <xdr:colOff>1504950</xdr:colOff>
      <xdr:row>14</xdr:row>
      <xdr:rowOff>38100</xdr:rowOff>
    </xdr:to>
    <xdr:sp macro="" textlink="">
      <xdr:nvSpPr>
        <xdr:cNvPr id="5" name="Textfeld 4"/>
        <xdr:cNvSpPr txBox="1"/>
      </xdr:nvSpPr>
      <xdr:spPr>
        <a:xfrm>
          <a:off x="5781675" y="1552575"/>
          <a:ext cx="2933700" cy="1257300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000" i="1"/>
            <a:t>Die Domainbewertung wurde in Anlehnung</a:t>
          </a:r>
          <a:r>
            <a:rPr lang="de-DE" sz="1000" i="1" baseline="0"/>
            <a:t> </a:t>
          </a:r>
          <a:r>
            <a:rPr lang="de-DE" sz="1000" i="1"/>
            <a:t>an das SCHARF-Bewertungsmodell </a:t>
          </a:r>
          <a:r>
            <a:rPr lang="de-DE" sz="1000" i="1">
              <a:solidFill>
                <a:schemeClr val="dk1"/>
              </a:solidFill>
              <a:latin typeface="+mn-lt"/>
              <a:ea typeface="+mn-ea"/>
              <a:cs typeface="+mn-cs"/>
            </a:rPr>
            <a:t>und mit freundlicher Geehmigung </a:t>
          </a:r>
          <a:r>
            <a:rPr lang="de-DE" sz="1000" i="1"/>
            <a:t>von Dr. Björn Benken erstellt. Die Domainbewertung nach Dr. Benken sowie die gesamte Exceltabelle sind urheberrechtlich geschützt, eine Weitergabe,</a:t>
          </a:r>
          <a:r>
            <a:rPr lang="de-DE" sz="1000" i="1" baseline="0"/>
            <a:t> Verkauf oder gewerbliche Nutzung ist nicht zulässig.</a:t>
          </a:r>
          <a:endParaRPr lang="de-DE" sz="1000" i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123825</xdr:rowOff>
    </xdr:from>
    <xdr:to>
      <xdr:col>14</xdr:col>
      <xdr:colOff>657225</xdr:colOff>
      <xdr:row>24</xdr:row>
      <xdr:rowOff>66675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1</xdr:row>
      <xdr:rowOff>0</xdr:rowOff>
    </xdr:from>
    <xdr:to>
      <xdr:col>14</xdr:col>
      <xdr:colOff>695325</xdr:colOff>
      <xdr:row>21</xdr:row>
      <xdr:rowOff>133350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142875</xdr:colOff>
      <xdr:row>27</xdr:row>
      <xdr:rowOff>0</xdr:rowOff>
    </xdr:from>
    <xdr:to>
      <xdr:col>14</xdr:col>
      <xdr:colOff>619125</xdr:colOff>
      <xdr:row>47</xdr:row>
      <xdr:rowOff>133350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257175</xdr:colOff>
      <xdr:row>50</xdr:row>
      <xdr:rowOff>152400</xdr:rowOff>
    </xdr:from>
    <xdr:to>
      <xdr:col>14</xdr:col>
      <xdr:colOff>733425</xdr:colOff>
      <xdr:row>72</xdr:row>
      <xdr:rowOff>95250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2</xdr:row>
      <xdr:rowOff>0</xdr:rowOff>
    </xdr:from>
    <xdr:to>
      <xdr:col>14</xdr:col>
      <xdr:colOff>619125</xdr:colOff>
      <xdr:row>22</xdr:row>
      <xdr:rowOff>133350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123825</xdr:rowOff>
    </xdr:from>
    <xdr:to>
      <xdr:col>14</xdr:col>
      <xdr:colOff>657225</xdr:colOff>
      <xdr:row>24</xdr:row>
      <xdr:rowOff>66675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971550</xdr:colOff>
      <xdr:row>0</xdr:row>
      <xdr:rowOff>0</xdr:rowOff>
    </xdr:from>
    <xdr:to>
      <xdr:col>5</xdr:col>
      <xdr:colOff>800244</xdr:colOff>
      <xdr:row>1</xdr:row>
      <xdr:rowOff>100725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0"/>
          <a:ext cx="2467119" cy="396000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1</xdr:row>
      <xdr:rowOff>38100</xdr:rowOff>
    </xdr:from>
    <xdr:to>
      <xdr:col>5</xdr:col>
      <xdr:colOff>762150</xdr:colOff>
      <xdr:row>2</xdr:row>
      <xdr:rowOff>171600</xdr:rowOff>
    </xdr:to>
    <xdr:pic>
      <xdr:nvPicPr>
        <xdr:cNvPr id="3" name="Рисунок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134100" y="333375"/>
          <a:ext cx="324000" cy="324000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30</xdr:row>
      <xdr:rowOff>19050</xdr:rowOff>
    </xdr:from>
    <xdr:to>
      <xdr:col>5</xdr:col>
      <xdr:colOff>685800</xdr:colOff>
      <xdr:row>35</xdr:row>
      <xdr:rowOff>93593</xdr:rowOff>
    </xdr:to>
    <xdr:sp macro="" textlink="">
      <xdr:nvSpPr>
        <xdr:cNvPr id="4" name="Textfeld 3"/>
        <xdr:cNvSpPr txBox="1"/>
      </xdr:nvSpPr>
      <xdr:spPr>
        <a:xfrm>
          <a:off x="3076575" y="2800350"/>
          <a:ext cx="3305175" cy="1027043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000" i="1"/>
            <a:t>Die Domainbewertung wurde in Anlehnung</a:t>
          </a:r>
          <a:r>
            <a:rPr lang="de-DE" sz="1000" i="1" baseline="0"/>
            <a:t> </a:t>
          </a:r>
          <a:r>
            <a:rPr lang="de-DE" sz="1000" i="1"/>
            <a:t>an das SCHARF-Bewertungsmodell </a:t>
          </a:r>
          <a:r>
            <a:rPr lang="de-DE" sz="1000" i="1">
              <a:solidFill>
                <a:schemeClr val="dk1"/>
              </a:solidFill>
              <a:latin typeface="+mn-lt"/>
              <a:ea typeface="+mn-ea"/>
              <a:cs typeface="+mn-cs"/>
            </a:rPr>
            <a:t>und mit freundlicher Geehmigung </a:t>
          </a:r>
          <a:r>
            <a:rPr lang="de-DE" sz="1000" i="1"/>
            <a:t>von Dr. Björn Benken erstellt. Die Domainbewertung nach Dr. Benken sowie die gesamte Exceltabelle sind urheberrechtlich geschützt, eine Weitergabe,</a:t>
          </a:r>
          <a:r>
            <a:rPr lang="de-DE" sz="1000" i="1" baseline="0"/>
            <a:t> Verkauf oder gewerbliche Nutzung ist nicht zulässig.</a:t>
          </a:r>
          <a:endParaRPr lang="de-DE" sz="1000" i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0</xdr:rowOff>
    </xdr:from>
    <xdr:to>
      <xdr:col>4</xdr:col>
      <xdr:colOff>1047894</xdr:colOff>
      <xdr:row>1</xdr:row>
      <xdr:rowOff>100725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0"/>
          <a:ext cx="2467119" cy="396000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752475</xdr:colOff>
      <xdr:row>1</xdr:row>
      <xdr:rowOff>76200</xdr:rowOff>
    </xdr:from>
    <xdr:to>
      <xdr:col>4</xdr:col>
      <xdr:colOff>1076475</xdr:colOff>
      <xdr:row>2</xdr:row>
      <xdr:rowOff>104925</xdr:rowOff>
    </xdr:to>
    <xdr:pic>
      <xdr:nvPicPr>
        <xdr:cNvPr id="5" name="Рисунок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115050" y="371475"/>
          <a:ext cx="324000" cy="324000"/>
        </a:xfrm>
        <a:prstGeom prst="rect">
          <a:avLst/>
        </a:prstGeom>
      </xdr:spPr>
    </xdr:pic>
    <xdr:clientData/>
  </xdr:twoCellAnchor>
  <xdr:twoCellAnchor>
    <xdr:from>
      <xdr:col>1</xdr:col>
      <xdr:colOff>923925</xdr:colOff>
      <xdr:row>5</xdr:row>
      <xdr:rowOff>152400</xdr:rowOff>
    </xdr:from>
    <xdr:to>
      <xdr:col>5</xdr:col>
      <xdr:colOff>9525</xdr:colOff>
      <xdr:row>11</xdr:row>
      <xdr:rowOff>36443</xdr:rowOff>
    </xdr:to>
    <xdr:sp macro="" textlink="">
      <xdr:nvSpPr>
        <xdr:cNvPr id="4" name="Textfeld 3"/>
        <xdr:cNvSpPr txBox="1"/>
      </xdr:nvSpPr>
      <xdr:spPr>
        <a:xfrm>
          <a:off x="3171825" y="1428750"/>
          <a:ext cx="3305175" cy="1027043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000" i="1"/>
            <a:t>Die Domainbewertung wurde in Anlehnung</a:t>
          </a:r>
          <a:r>
            <a:rPr lang="de-DE" sz="1000" i="1" baseline="0"/>
            <a:t> </a:t>
          </a:r>
          <a:r>
            <a:rPr lang="de-DE" sz="1000" i="1"/>
            <a:t>an das SCHARF-Bewertungsmodell </a:t>
          </a:r>
          <a:r>
            <a:rPr lang="de-DE" sz="1000" i="1">
              <a:solidFill>
                <a:schemeClr val="dk1"/>
              </a:solidFill>
              <a:latin typeface="+mn-lt"/>
              <a:ea typeface="+mn-ea"/>
              <a:cs typeface="+mn-cs"/>
            </a:rPr>
            <a:t>und mit freundlicher Geehmigung </a:t>
          </a:r>
          <a:r>
            <a:rPr lang="de-DE" sz="1000" i="1"/>
            <a:t>von Dr. Björn Benken erstellt. Die Domainbewertung nach Dr. Benken sowie die gesamte Exceltabelle sind urheberrechtlich geschützt, eine Weitergabe,</a:t>
          </a:r>
          <a:r>
            <a:rPr lang="de-DE" sz="1000" i="1" baseline="0"/>
            <a:t> Verkauf oder gewerbliche Nutzung ist nicht zulässig.</a:t>
          </a:r>
          <a:endParaRPr lang="de-DE" sz="1000" i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0</xdr:row>
      <xdr:rowOff>0</xdr:rowOff>
    </xdr:from>
    <xdr:to>
      <xdr:col>4</xdr:col>
      <xdr:colOff>657369</xdr:colOff>
      <xdr:row>1</xdr:row>
      <xdr:rowOff>100725</xdr:rowOff>
    </xdr:to>
    <xdr:pic>
      <xdr:nvPicPr>
        <xdr:cNvPr id="3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0"/>
          <a:ext cx="2467119" cy="396000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1</xdr:row>
      <xdr:rowOff>76200</xdr:rowOff>
    </xdr:from>
    <xdr:to>
      <xdr:col>4</xdr:col>
      <xdr:colOff>685950</xdr:colOff>
      <xdr:row>3</xdr:row>
      <xdr:rowOff>19200</xdr:rowOff>
    </xdr:to>
    <xdr:pic>
      <xdr:nvPicPr>
        <xdr:cNvPr id="4" name="Рисунок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1334750" y="371475"/>
          <a:ext cx="324000" cy="324000"/>
        </a:xfrm>
        <a:prstGeom prst="rect">
          <a:avLst/>
        </a:prstGeom>
      </xdr:spPr>
    </xdr:pic>
    <xdr:clientData/>
  </xdr:twoCellAnchor>
  <xdr:twoCellAnchor>
    <xdr:from>
      <xdr:col>0</xdr:col>
      <xdr:colOff>4522304</xdr:colOff>
      <xdr:row>5</xdr:row>
      <xdr:rowOff>182217</xdr:rowOff>
    </xdr:from>
    <xdr:to>
      <xdr:col>1</xdr:col>
      <xdr:colOff>2394088</xdr:colOff>
      <xdr:row>11</xdr:row>
      <xdr:rowOff>57978</xdr:rowOff>
    </xdr:to>
    <xdr:sp macro="" textlink="">
      <xdr:nvSpPr>
        <xdr:cNvPr id="6" name="Textfeld 5"/>
        <xdr:cNvSpPr txBox="1"/>
      </xdr:nvSpPr>
      <xdr:spPr>
        <a:xfrm>
          <a:off x="4522304" y="1250674"/>
          <a:ext cx="3305175" cy="1027043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000" i="1"/>
            <a:t>Die Domainbewertung wurde in Anlehnung</a:t>
          </a:r>
          <a:r>
            <a:rPr lang="de-DE" sz="1000" i="1" baseline="0"/>
            <a:t> </a:t>
          </a:r>
          <a:r>
            <a:rPr lang="de-DE" sz="1000" i="1"/>
            <a:t>an das SCHARF-Bewertungsmodell </a:t>
          </a:r>
          <a:r>
            <a:rPr lang="de-DE" sz="1000" i="1">
              <a:solidFill>
                <a:schemeClr val="dk1"/>
              </a:solidFill>
              <a:latin typeface="+mn-lt"/>
              <a:ea typeface="+mn-ea"/>
              <a:cs typeface="+mn-cs"/>
            </a:rPr>
            <a:t>und mit freundlicher Geehmigung </a:t>
          </a:r>
          <a:r>
            <a:rPr lang="de-DE" sz="1000" i="1"/>
            <a:t>von Dr. Björn Benken erstellt. Die Domainbewertung nach Dr. Benken sowie die gesamte Exceltabelle sind urheberrechtlich geschützt, eine Weitergabe,</a:t>
          </a:r>
          <a:r>
            <a:rPr lang="de-DE" sz="1000" i="1" baseline="0"/>
            <a:t> Verkauf oder gewerbliche Nutzung ist nicht zulässig.</a:t>
          </a:r>
          <a:endParaRPr lang="de-DE" sz="1000" i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5</xdr:row>
      <xdr:rowOff>176212</xdr:rowOff>
    </xdr:from>
    <xdr:to>
      <xdr:col>15</xdr:col>
      <xdr:colOff>123825</xdr:colOff>
      <xdr:row>32</xdr:row>
      <xdr:rowOff>152400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11</xdr:col>
      <xdr:colOff>257175</xdr:colOff>
      <xdr:row>42</xdr:row>
      <xdr:rowOff>186772</xdr:rowOff>
    </xdr:to>
    <xdr:sp macro="" textlink="">
      <xdr:nvSpPr>
        <xdr:cNvPr id="3" name="Textfeld 2"/>
        <xdr:cNvSpPr txBox="1"/>
      </xdr:nvSpPr>
      <xdr:spPr>
        <a:xfrm>
          <a:off x="4905375" y="7620000"/>
          <a:ext cx="3305175" cy="5677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000" i="1"/>
            <a:t>Die Domainbewertung wurde in Anlehnung</a:t>
          </a:r>
          <a:r>
            <a:rPr lang="de-DE" sz="1000" i="1" baseline="0"/>
            <a:t> </a:t>
          </a:r>
          <a:r>
            <a:rPr lang="de-DE" sz="1000" i="1"/>
            <a:t>an das SCHARF-Bewertungsmodell </a:t>
          </a:r>
          <a:r>
            <a:rPr lang="de-DE" sz="1000" i="1">
              <a:solidFill>
                <a:schemeClr val="dk1"/>
              </a:solidFill>
              <a:latin typeface="+mn-lt"/>
              <a:ea typeface="+mn-ea"/>
              <a:cs typeface="+mn-cs"/>
            </a:rPr>
            <a:t>und mit freundlicher Geehmigung </a:t>
          </a:r>
          <a:r>
            <a:rPr lang="de-DE" sz="1000" i="1"/>
            <a:t>von Dr. Björn Benken erstellt.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180975</xdr:rowOff>
    </xdr:from>
    <xdr:to>
      <xdr:col>14</xdr:col>
      <xdr:colOff>685800</xdr:colOff>
      <xdr:row>21</xdr:row>
      <xdr:rowOff>76200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23</xdr:row>
      <xdr:rowOff>76200</xdr:rowOff>
    </xdr:from>
    <xdr:to>
      <xdr:col>14</xdr:col>
      <xdr:colOff>676275</xdr:colOff>
      <xdr:row>44</xdr:row>
      <xdr:rowOff>19050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1</xdr:row>
      <xdr:rowOff>0</xdr:rowOff>
    </xdr:from>
    <xdr:to>
      <xdr:col>14</xdr:col>
      <xdr:colOff>695325</xdr:colOff>
      <xdr:row>21</xdr:row>
      <xdr:rowOff>133350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142875</xdr:colOff>
      <xdr:row>45</xdr:row>
      <xdr:rowOff>0</xdr:rowOff>
    </xdr:from>
    <xdr:to>
      <xdr:col>14</xdr:col>
      <xdr:colOff>619125</xdr:colOff>
      <xdr:row>65</xdr:row>
      <xdr:rowOff>133350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257175</xdr:colOff>
      <xdr:row>68</xdr:row>
      <xdr:rowOff>152400</xdr:rowOff>
    </xdr:from>
    <xdr:to>
      <xdr:col>14</xdr:col>
      <xdr:colOff>733425</xdr:colOff>
      <xdr:row>88</xdr:row>
      <xdr:rowOff>95250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1</xdr:row>
      <xdr:rowOff>0</xdr:rowOff>
    </xdr:from>
    <xdr:to>
      <xdr:col>14</xdr:col>
      <xdr:colOff>695325</xdr:colOff>
      <xdr:row>21</xdr:row>
      <xdr:rowOff>133350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142875</xdr:colOff>
      <xdr:row>27</xdr:row>
      <xdr:rowOff>0</xdr:rowOff>
    </xdr:from>
    <xdr:to>
      <xdr:col>14</xdr:col>
      <xdr:colOff>619125</xdr:colOff>
      <xdr:row>47</xdr:row>
      <xdr:rowOff>133350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51</xdr:row>
      <xdr:rowOff>0</xdr:rowOff>
    </xdr:from>
    <xdr:to>
      <xdr:col>14</xdr:col>
      <xdr:colOff>476250</xdr:colOff>
      <xdr:row>71</xdr:row>
      <xdr:rowOff>133350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79</xdr:row>
      <xdr:rowOff>0</xdr:rowOff>
    </xdr:from>
    <xdr:to>
      <xdr:col>14</xdr:col>
      <xdr:colOff>476250</xdr:colOff>
      <xdr:row>99</xdr:row>
      <xdr:rowOff>133350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2</xdr:row>
      <xdr:rowOff>0</xdr:rowOff>
    </xdr:from>
    <xdr:to>
      <xdr:col>14</xdr:col>
      <xdr:colOff>619125</xdr:colOff>
      <xdr:row>22</xdr:row>
      <xdr:rowOff>133350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ruenderlexikon.de/checkliste/informieren/selbstaendigkeit-internet/webprojekt-kaufen/webseite-preis-ermitteln/" TargetMode="External"/><Relationship Id="rId2" Type="http://schemas.openxmlformats.org/officeDocument/2006/relationships/hyperlink" Target="https://www.gruenderlexikon.de/checkliste/informieren/selbstaendigkeit-internet/webprojekt-kaufen/webseite-wert-ermitteln/" TargetMode="External"/><Relationship Id="rId1" Type="http://schemas.openxmlformats.org/officeDocument/2006/relationships/hyperlink" Target="https://www.gruenderlexikon.de/checkliste/informieren/selbstaendigkeit-internet/webprojekt-kaufen/domainhandelsboersen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nalytics.google.com/analytics/web/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://www.sistrix.de/?tid=194" TargetMode="External"/><Relationship Id="rId7" Type="http://schemas.openxmlformats.org/officeDocument/2006/relationships/hyperlink" Target="https://analytics.google.com/analytics/web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sistrix.de/?tid=194" TargetMode="External"/><Relationship Id="rId1" Type="http://schemas.openxmlformats.org/officeDocument/2006/relationships/hyperlink" Target="https://archive.org/web/" TargetMode="External"/><Relationship Id="rId6" Type="http://schemas.openxmlformats.org/officeDocument/2006/relationships/hyperlink" Target="https://analytics.google.com/analytics/web/" TargetMode="External"/><Relationship Id="rId11" Type="http://schemas.openxmlformats.org/officeDocument/2006/relationships/hyperlink" Target="https://www.gruenderlexikon.de/checkliste/informieren/selbstaendigkeit-internet/webprojekt-kaufen/webseite-preis-ermitteln/" TargetMode="External"/><Relationship Id="rId5" Type="http://schemas.openxmlformats.org/officeDocument/2006/relationships/hyperlink" Target="https://de.onpage.org/?offer_id=2&amp;aff_id=168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www.gruenderlexikon.de/checkliste/informieren/selbstaendigkeit-internet/webprojekt-kaufen/webseite-wert-ermitteln/" TargetMode="External"/><Relationship Id="rId4" Type="http://schemas.openxmlformats.org/officeDocument/2006/relationships/hyperlink" Target="https://de.onpage.org/?offer_id=2&amp;aff_id=168" TargetMode="External"/><Relationship Id="rId9" Type="http://schemas.openxmlformats.org/officeDocument/2006/relationships/hyperlink" Target="https://www.gruenderlexikon.de/checkliste/informieren/selbstaendigkeit-internet/webprojekt-kaufen/domainhandelsboersen/" TargetMode="External"/><Relationship Id="rId1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ruenderlexikon.de/checkliste/informieren/selbstaendigkeit-internet/webprojekt-kaufen/webseite-preis-ermitteln/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www.gruenderlexikon.de/checkliste/informieren/selbstaendigkeit-internet/webprojekt-kaufen/webseite-wert-ermitteln/" TargetMode="External"/><Relationship Id="rId1" Type="http://schemas.openxmlformats.org/officeDocument/2006/relationships/hyperlink" Target="https://www.gruenderlexikon.de/checkliste/informieren/selbstaendigkeit-internet/webprojekt-kaufen/domainhandelsboersen/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uenderlexikon.de/checkliste/informieren/selbstaendigkeit-internet/webprojekt-kaufen/webseite-wert-ermitteln/" TargetMode="External"/><Relationship Id="rId13" Type="http://schemas.openxmlformats.org/officeDocument/2006/relationships/comments" Target="../comments3.xml"/><Relationship Id="rId3" Type="http://schemas.openxmlformats.org/officeDocument/2006/relationships/hyperlink" Target="http://www.duden.de/suchen/dudenonline" TargetMode="External"/><Relationship Id="rId7" Type="http://schemas.openxmlformats.org/officeDocument/2006/relationships/hyperlink" Target="https://www.gruenderlexikon.de/checkliste/informieren/selbstaendigkeit-internet/webprojekt-kaufen/domainhandelsboersen/" TargetMode="External"/><Relationship Id="rId12" Type="http://schemas.openxmlformats.org/officeDocument/2006/relationships/vmlDrawing" Target="../drawings/vmlDrawing3.vml"/><Relationship Id="rId2" Type="http://schemas.openxmlformats.org/officeDocument/2006/relationships/hyperlink" Target="https://www.google.de/search?q=ihrdomainname&amp;ie=UTF-8" TargetMode="External"/><Relationship Id="rId1" Type="http://schemas.openxmlformats.org/officeDocument/2006/relationships/hyperlink" Target="https://www.google.de/search?q=ihrdomainname&amp;ie=UTF-8" TargetMode="External"/><Relationship Id="rId6" Type="http://schemas.openxmlformats.org/officeDocument/2006/relationships/hyperlink" Target="https://www.gruenderlexikon.de/?id=1074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www.gruenderlexikon.de/?id=1074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analytics.google.com/analytics/web/" TargetMode="External"/><Relationship Id="rId9" Type="http://schemas.openxmlformats.org/officeDocument/2006/relationships/hyperlink" Target="https://www.gruenderlexikon.de/checkliste/informieren/selbstaendigkeit-internet/webprojekt-kaufen/webseite-preis-ermitteln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view="pageLayout" zoomScaleNormal="100" zoomScaleSheetLayoutView="118" workbookViewId="0">
      <selection activeCell="C31" sqref="C31"/>
    </sheetView>
  </sheetViews>
  <sheetFormatPr baseColWidth="10" defaultRowHeight="15"/>
  <cols>
    <col min="1" max="1" width="4.5703125" customWidth="1"/>
    <col min="2" max="2" width="4.140625" customWidth="1"/>
    <col min="3" max="3" width="47.140625" customWidth="1"/>
    <col min="4" max="4" width="7.42578125" customWidth="1"/>
    <col min="5" max="5" width="8" bestFit="1" customWidth="1"/>
    <col min="6" max="6" width="9" bestFit="1" customWidth="1"/>
    <col min="7" max="7" width="5.7109375" customWidth="1"/>
    <col min="8" max="8" width="14.5703125" customWidth="1"/>
    <col min="9" max="9" width="21.42578125" bestFit="1" customWidth="1"/>
    <col min="10" max="10" width="13" bestFit="1" customWidth="1"/>
  </cols>
  <sheetData>
    <row r="1" spans="1:9" ht="23.25">
      <c r="A1" s="25" t="s">
        <v>191</v>
      </c>
    </row>
    <row r="2" spans="1:9">
      <c r="A2" t="s">
        <v>259</v>
      </c>
    </row>
    <row r="5" spans="1:9">
      <c r="A5" s="188" t="s">
        <v>241</v>
      </c>
      <c r="B5" s="188"/>
      <c r="C5" s="188"/>
      <c r="D5" s="188"/>
      <c r="E5" s="188"/>
      <c r="F5" s="188"/>
      <c r="G5" s="188"/>
      <c r="H5" s="188"/>
      <c r="I5" s="188"/>
    </row>
    <row r="6" spans="1:9">
      <c r="A6" s="18"/>
      <c r="F6" s="19" t="s">
        <v>248</v>
      </c>
      <c r="G6" s="19"/>
      <c r="H6" s="19" t="s">
        <v>247</v>
      </c>
    </row>
    <row r="7" spans="1:9">
      <c r="A7" s="18" t="s">
        <v>192</v>
      </c>
      <c r="B7" t="s">
        <v>197</v>
      </c>
      <c r="E7" s="93">
        <f>'I. techn. Bewertung'!B60</f>
        <v>1.0323042114067964</v>
      </c>
    </row>
    <row r="8" spans="1:9">
      <c r="B8" t="s">
        <v>229</v>
      </c>
      <c r="E8" s="93">
        <f>'I. techn. Bewertung'!E37</f>
        <v>0.94470427423683268</v>
      </c>
    </row>
    <row r="9" spans="1:9">
      <c r="A9" s="18"/>
      <c r="B9" t="s">
        <v>234</v>
      </c>
      <c r="F9" s="93">
        <f>'I. techn. Bewertung'!F60</f>
        <v>0.97522220082868349</v>
      </c>
      <c r="G9" s="93"/>
    </row>
    <row r="10" spans="1:9">
      <c r="A10" s="18"/>
    </row>
    <row r="11" spans="1:9">
      <c r="A11" s="18" t="s">
        <v>192</v>
      </c>
      <c r="B11" t="s">
        <v>198</v>
      </c>
      <c r="E11" s="93">
        <f>'I. techn. Bewertung'!B61</f>
        <v>4.8225048022584023</v>
      </c>
    </row>
    <row r="12" spans="1:9">
      <c r="B12" t="s">
        <v>232</v>
      </c>
      <c r="E12" s="93">
        <f ca="1">'I. techn. Bewertung'!D61</f>
        <v>1.6120845718905967</v>
      </c>
    </row>
    <row r="13" spans="1:9">
      <c r="B13" t="s">
        <v>233</v>
      </c>
      <c r="F13" s="93">
        <f ca="1">'I. techn. Bewertung'!F61</f>
        <v>7.7742855895890832</v>
      </c>
      <c r="G13" s="93"/>
    </row>
    <row r="15" spans="1:9">
      <c r="A15" t="s">
        <v>235</v>
      </c>
      <c r="F15" s="93">
        <f ca="1">F9+F13</f>
        <v>8.7495077904177663</v>
      </c>
      <c r="G15" s="93"/>
    </row>
    <row r="16" spans="1:9" ht="4.5" customHeight="1"/>
    <row r="17" spans="1:12">
      <c r="A17" s="188" t="s">
        <v>245</v>
      </c>
      <c r="B17" s="188"/>
      <c r="C17" s="188"/>
      <c r="D17" s="188"/>
      <c r="E17" s="188"/>
      <c r="F17" s="188"/>
      <c r="G17" s="188"/>
      <c r="H17" s="188"/>
      <c r="I17" s="188"/>
    </row>
    <row r="18" spans="1:12" ht="7.5" customHeight="1"/>
    <row r="19" spans="1:12">
      <c r="A19" s="2"/>
      <c r="B19" t="s">
        <v>258</v>
      </c>
      <c r="H19" s="52">
        <f ca="1">'II. wirtschaftliche Bewertung'!D77</f>
        <v>82310.469289048429</v>
      </c>
    </row>
    <row r="20" spans="1:12" ht="6.75" customHeight="1"/>
    <row r="21" spans="1:12">
      <c r="A21" s="188" t="s">
        <v>246</v>
      </c>
      <c r="B21" s="188"/>
      <c r="C21" s="188"/>
      <c r="D21" s="188"/>
      <c r="E21" s="188"/>
      <c r="F21" s="188"/>
      <c r="G21" s="188"/>
      <c r="H21" s="188"/>
      <c r="I21" s="188"/>
    </row>
    <row r="22" spans="1:12" ht="13.5" customHeight="1">
      <c r="A22" s="2"/>
      <c r="H22" s="52">
        <f>'III. Domainbewertung'!D73</f>
        <v>738.33815604513347</v>
      </c>
    </row>
    <row r="23" spans="1:12">
      <c r="A23" s="2"/>
      <c r="B23" t="s">
        <v>258</v>
      </c>
      <c r="H23" s="91"/>
    </row>
    <row r="24" spans="1:12" ht="6" customHeight="1"/>
    <row r="25" spans="1:12" ht="23.25">
      <c r="A25" s="189" t="s">
        <v>249</v>
      </c>
      <c r="B25" s="189"/>
      <c r="C25" s="189"/>
      <c r="D25" s="189"/>
      <c r="E25" s="189"/>
      <c r="F25" s="189"/>
      <c r="G25" s="189"/>
      <c r="H25" s="189"/>
      <c r="I25" s="114">
        <f ca="1">H19+H22</f>
        <v>83048.807445093567</v>
      </c>
      <c r="J25" s="113"/>
      <c r="K25" s="113"/>
      <c r="L25" s="113"/>
    </row>
    <row r="27" spans="1:12">
      <c r="B27" s="178" t="s">
        <v>260</v>
      </c>
      <c r="C27" s="175"/>
      <c r="D27" s="174"/>
      <c r="E27" s="174"/>
      <c r="F27" s="174"/>
      <c r="G27" s="174"/>
      <c r="H27" s="174"/>
    </row>
    <row r="28" spans="1:12">
      <c r="B28" t="s">
        <v>264</v>
      </c>
      <c r="H28" s="177" t="s">
        <v>261</v>
      </c>
    </row>
    <row r="29" spans="1:12">
      <c r="B29" t="s">
        <v>262</v>
      </c>
      <c r="H29" s="177" t="s">
        <v>261</v>
      </c>
    </row>
    <row r="30" spans="1:12">
      <c r="B30" t="s">
        <v>263</v>
      </c>
      <c r="H30" s="177" t="s">
        <v>261</v>
      </c>
    </row>
    <row r="32" spans="1:12">
      <c r="A32" s="15"/>
      <c r="B32" s="184"/>
      <c r="C32" s="176"/>
      <c r="D32" s="15"/>
      <c r="E32" s="15"/>
      <c r="F32" s="15"/>
      <c r="G32" s="15"/>
      <c r="H32" s="15"/>
      <c r="I32" s="15"/>
    </row>
    <row r="33" spans="1:9">
      <c r="A33" s="15"/>
      <c r="B33" s="15"/>
      <c r="C33" s="15"/>
      <c r="D33" s="15"/>
      <c r="E33" s="15"/>
      <c r="F33" s="15"/>
      <c r="G33" s="15"/>
      <c r="H33" s="185"/>
      <c r="I33" s="15"/>
    </row>
  </sheetData>
  <sheetProtection selectLockedCells="1"/>
  <mergeCells count="4">
    <mergeCell ref="A5:I5"/>
    <mergeCell ref="A17:I17"/>
    <mergeCell ref="A21:I21"/>
    <mergeCell ref="A25:H25"/>
  </mergeCells>
  <hyperlinks>
    <hyperlink ref="H28" r:id="rId1"/>
    <hyperlink ref="H29" r:id="rId2"/>
    <hyperlink ref="H30" r:id="rId3"/>
  </hyperlinks>
  <pageMargins left="0.70866141732283472" right="0.70866141732283472" top="0.78740157480314965" bottom="0.78740157480314965" header="0.31496062992125984" footer="0.31496062992125984"/>
  <pageSetup paperSize="9" orientation="landscape" r:id="rId4"/>
  <headerFooter>
    <oddFooter>&amp;Cerstellt von: Torsten Montag, Gründerlexikon
http://www.gruenderlexikon.de</oddFooter>
  </headerFooter>
  <drawing r:id="rId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M33" sqref="M33"/>
    </sheetView>
  </sheetViews>
  <sheetFormatPr baseColWidth="10" defaultRowHeight="15"/>
  <cols>
    <col min="2" max="2" width="16.28515625" customWidth="1"/>
    <col min="3" max="3" width="11.42578125" customWidth="1"/>
    <col min="4" max="4" width="18.42578125" customWidth="1"/>
  </cols>
  <sheetData>
    <row r="1" spans="1:4" ht="18.75">
      <c r="A1" s="51" t="str">
        <f>'I. techn. Bewertung'!A47</f>
        <v>4. Offpage-Bewertungsfaktor: a. Domainalter</v>
      </c>
    </row>
    <row r="2" spans="1:4">
      <c r="A2" s="58" t="s">
        <v>257</v>
      </c>
      <c r="B2" s="59"/>
    </row>
    <row r="3" spans="1:4">
      <c r="B3" s="59"/>
    </row>
    <row r="5" spans="1:4">
      <c r="A5" t="s">
        <v>147</v>
      </c>
      <c r="B5" t="s">
        <v>205</v>
      </c>
      <c r="D5">
        <v>0.75800000000000001</v>
      </c>
    </row>
    <row r="6" spans="1:4">
      <c r="A6" t="s">
        <v>145</v>
      </c>
      <c r="B6" s="58" t="s">
        <v>285</v>
      </c>
      <c r="D6">
        <v>5.3900000000000003E-2</v>
      </c>
    </row>
    <row r="8" spans="1:4">
      <c r="B8" s="181" t="s">
        <v>285</v>
      </c>
      <c r="C8" s="182" t="s">
        <v>210</v>
      </c>
      <c r="D8" s="26" t="s">
        <v>286</v>
      </c>
    </row>
    <row r="9" spans="1:4">
      <c r="A9" t="s">
        <v>214</v>
      </c>
      <c r="B9" s="65">
        <v>1</v>
      </c>
      <c r="C9" s="60">
        <v>0.8</v>
      </c>
      <c r="D9">
        <f>$D$5*EXP(B9*D6)</f>
        <v>0.79997732670086064</v>
      </c>
    </row>
    <row r="10" spans="1:4">
      <c r="A10" t="s">
        <v>215</v>
      </c>
      <c r="B10" s="59">
        <v>18</v>
      </c>
      <c r="C10" s="60">
        <v>2</v>
      </c>
      <c r="D10">
        <f>$D$5*EXP(B10*D6)</f>
        <v>1.9999618525643901</v>
      </c>
    </row>
    <row r="12" spans="1:4">
      <c r="A12" t="s">
        <v>5</v>
      </c>
      <c r="B12" s="74">
        <f ca="1">D5*EXP('I. techn. Bewertung'!C50*D6)</f>
        <v>1.6120845718905967</v>
      </c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E16" sqref="E16"/>
    </sheetView>
  </sheetViews>
  <sheetFormatPr baseColWidth="10" defaultRowHeight="15"/>
  <cols>
    <col min="2" max="2" width="16.28515625" customWidth="1"/>
    <col min="3" max="3" width="11.42578125" customWidth="1"/>
    <col min="4" max="4" width="18.42578125" customWidth="1"/>
  </cols>
  <sheetData>
    <row r="1" spans="1:4" ht="18.75">
      <c r="A1" s="92" t="str">
        <f>'I. techn. Bewertung'!A64</f>
        <v>Webseitenbewertungsfaktor (CC Value)</v>
      </c>
    </row>
    <row r="4" spans="1:4">
      <c r="A4" t="s">
        <v>147</v>
      </c>
      <c r="B4" t="s">
        <v>205</v>
      </c>
      <c r="D4">
        <v>0.1</v>
      </c>
    </row>
    <row r="5" spans="1:4">
      <c r="A5" t="s">
        <v>145</v>
      </c>
      <c r="B5" t="s">
        <v>227</v>
      </c>
      <c r="D5">
        <v>0.34010000000000001</v>
      </c>
    </row>
    <row r="7" spans="1:4">
      <c r="B7" s="26" t="s">
        <v>227</v>
      </c>
      <c r="C7" s="182" t="s">
        <v>210</v>
      </c>
      <c r="D7" s="26" t="s">
        <v>286</v>
      </c>
    </row>
    <row r="8" spans="1:4">
      <c r="A8" t="s">
        <v>214</v>
      </c>
      <c r="B8" s="59">
        <v>0</v>
      </c>
      <c r="C8" s="60">
        <v>0.1</v>
      </c>
      <c r="D8">
        <f>$D$4*EXP($D$5*B8)</f>
        <v>0.1</v>
      </c>
    </row>
    <row r="9" spans="1:4">
      <c r="A9" t="s">
        <v>215</v>
      </c>
      <c r="B9" s="59">
        <v>10</v>
      </c>
      <c r="C9" s="60">
        <v>3</v>
      </c>
      <c r="D9">
        <f t="shared" ref="D9" si="0">$D$4*EXP($D$5*B9)</f>
        <v>2.9994079134489708</v>
      </c>
    </row>
    <row r="10" spans="1:4">
      <c r="B10" s="59"/>
      <c r="C10" s="60"/>
    </row>
    <row r="11" spans="1:4">
      <c r="A11" s="57"/>
      <c r="B11" s="59"/>
    </row>
    <row r="12" spans="1:4">
      <c r="A12" s="57"/>
      <c r="B12" s="59"/>
    </row>
    <row r="13" spans="1:4">
      <c r="A13" s="57"/>
      <c r="B13" s="59"/>
    </row>
    <row r="14" spans="1:4">
      <c r="A14" s="57"/>
      <c r="B14" s="59"/>
    </row>
    <row r="15" spans="1:4">
      <c r="A15" s="57"/>
      <c r="B15" s="59"/>
    </row>
    <row r="16" spans="1:4">
      <c r="A16" s="57"/>
      <c r="B16" s="59"/>
    </row>
    <row r="17" spans="1:8">
      <c r="A17" s="57"/>
      <c r="B17" s="59"/>
    </row>
    <row r="18" spans="1:8">
      <c r="A18" s="57"/>
      <c r="B18" s="59"/>
    </row>
    <row r="19" spans="1:8">
      <c r="A19" s="57"/>
      <c r="B19" s="59"/>
    </row>
    <row r="20" spans="1:8">
      <c r="A20" s="57"/>
      <c r="B20" s="59"/>
      <c r="G20" s="16"/>
      <c r="H20" s="16"/>
    </row>
    <row r="21" spans="1:8">
      <c r="A21" s="57"/>
      <c r="B21" s="59"/>
      <c r="G21" s="59"/>
      <c r="H21" s="57"/>
    </row>
    <row r="22" spans="1:8">
      <c r="A22" s="57"/>
      <c r="B22" s="59"/>
      <c r="G22" s="59"/>
      <c r="H22" s="57"/>
    </row>
    <row r="23" spans="1:8">
      <c r="A23" s="57"/>
      <c r="B23" s="59"/>
      <c r="G23" s="59"/>
      <c r="H23" s="57"/>
    </row>
    <row r="24" spans="1:8">
      <c r="A24" s="57"/>
      <c r="B24" s="59"/>
      <c r="G24" s="59"/>
      <c r="H24" s="57"/>
    </row>
    <row r="25" spans="1:8">
      <c r="A25" s="57"/>
      <c r="B25" s="59"/>
      <c r="G25" s="59"/>
      <c r="H25" s="57"/>
    </row>
    <row r="26" spans="1:8">
      <c r="A26" s="57"/>
      <c r="B26" s="59"/>
      <c r="G26" s="58"/>
      <c r="H26" s="57"/>
    </row>
    <row r="27" spans="1:8">
      <c r="A27" s="57"/>
      <c r="B27" s="59"/>
    </row>
    <row r="28" spans="1:8">
      <c r="B28" s="59"/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C54" sqref="C54:D54"/>
    </sheetView>
  </sheetViews>
  <sheetFormatPr baseColWidth="10" defaultRowHeight="15"/>
  <cols>
    <col min="2" max="2" width="16.28515625" customWidth="1"/>
    <col min="3" max="3" width="11.42578125" customWidth="1"/>
    <col min="4" max="4" width="18.42578125" customWidth="1"/>
  </cols>
  <sheetData>
    <row r="1" spans="1:4" ht="18.75">
      <c r="A1" s="51" t="str">
        <f>'I. techn. Bewertung'!A21</f>
        <v>c. User-Rotation</v>
      </c>
    </row>
    <row r="3" spans="1:4">
      <c r="A3" s="2" t="s">
        <v>208</v>
      </c>
    </row>
    <row r="4" spans="1:4">
      <c r="A4" t="s">
        <v>147</v>
      </c>
      <c r="B4" t="s">
        <v>205</v>
      </c>
      <c r="D4">
        <v>10</v>
      </c>
    </row>
    <row r="5" spans="1:4">
      <c r="A5" t="s">
        <v>145</v>
      </c>
      <c r="B5" t="s">
        <v>208</v>
      </c>
      <c r="D5">
        <v>-4.6100000000000002E-2</v>
      </c>
    </row>
    <row r="7" spans="1:4">
      <c r="B7" s="16" t="s">
        <v>208</v>
      </c>
      <c r="C7" s="16" t="s">
        <v>210</v>
      </c>
      <c r="D7" t="s">
        <v>206</v>
      </c>
    </row>
    <row r="8" spans="1:4">
      <c r="A8" t="s">
        <v>214</v>
      </c>
      <c r="B8" s="64">
        <v>0.01</v>
      </c>
      <c r="C8" s="60">
        <v>10</v>
      </c>
      <c r="D8">
        <f>$D$4*EXP($D$5*B8)</f>
        <v>9.9953910624417315</v>
      </c>
    </row>
    <row r="9" spans="1:4">
      <c r="A9" t="s">
        <v>215</v>
      </c>
      <c r="B9" s="59">
        <v>100</v>
      </c>
      <c r="C9" s="60">
        <v>0.1</v>
      </c>
      <c r="D9">
        <f t="shared" ref="D9" si="0">$D$4*EXP($D$5*B9)</f>
        <v>9.9518183078484201E-2</v>
      </c>
    </row>
    <row r="10" spans="1:4">
      <c r="B10" s="59"/>
      <c r="C10" s="60"/>
    </row>
    <row r="11" spans="1:4">
      <c r="A11" s="57"/>
      <c r="B11" s="59"/>
    </row>
    <row r="12" spans="1:4">
      <c r="A12" s="57"/>
      <c r="B12" s="59"/>
    </row>
    <row r="13" spans="1:4">
      <c r="A13" s="57"/>
      <c r="B13" s="59"/>
    </row>
    <row r="14" spans="1:4">
      <c r="A14" s="57"/>
      <c r="B14" s="59"/>
    </row>
    <row r="15" spans="1:4">
      <c r="A15" s="57"/>
      <c r="B15" s="59"/>
    </row>
    <row r="16" spans="1:4">
      <c r="A16" s="57"/>
      <c r="B16" s="59"/>
    </row>
    <row r="17" spans="1:8">
      <c r="A17" s="57"/>
      <c r="B17" s="59"/>
    </row>
    <row r="18" spans="1:8">
      <c r="A18" s="57"/>
      <c r="B18" s="59"/>
    </row>
    <row r="19" spans="1:8">
      <c r="A19" s="57"/>
      <c r="B19" s="59"/>
    </row>
    <row r="20" spans="1:8">
      <c r="A20" s="57"/>
      <c r="B20" s="59"/>
      <c r="G20" s="16"/>
      <c r="H20" s="16"/>
    </row>
    <row r="21" spans="1:8">
      <c r="A21" s="57"/>
      <c r="B21" s="59"/>
      <c r="G21" s="59"/>
      <c r="H21" s="57"/>
    </row>
    <row r="22" spans="1:8">
      <c r="A22" s="57"/>
      <c r="B22" s="59"/>
      <c r="G22" s="59"/>
      <c r="H22" s="57"/>
    </row>
    <row r="23" spans="1:8">
      <c r="A23" s="57"/>
      <c r="B23" s="59"/>
      <c r="G23" s="59"/>
      <c r="H23" s="57"/>
    </row>
    <row r="24" spans="1:8">
      <c r="A24" s="57"/>
      <c r="B24" s="59"/>
      <c r="G24" s="59"/>
      <c r="H24" s="57"/>
    </row>
    <row r="25" spans="1:8">
      <c r="A25" s="57"/>
      <c r="B25" s="59"/>
      <c r="G25" s="59"/>
      <c r="H25" s="57"/>
    </row>
    <row r="26" spans="1:8">
      <c r="A26" s="57"/>
      <c r="B26" s="59"/>
      <c r="G26" s="58"/>
      <c r="H26" s="57"/>
    </row>
    <row r="27" spans="1:8">
      <c r="A27" s="57"/>
      <c r="B27" s="59"/>
    </row>
    <row r="28" spans="1:8">
      <c r="B28" s="59"/>
    </row>
    <row r="29" spans="1:8">
      <c r="A29" s="39" t="s">
        <v>207</v>
      </c>
    </row>
    <row r="30" spans="1:8">
      <c r="A30" t="s">
        <v>147</v>
      </c>
      <c r="B30" t="s">
        <v>205</v>
      </c>
      <c r="D30">
        <v>0.1</v>
      </c>
    </row>
    <row r="31" spans="1:8">
      <c r="A31" t="s">
        <v>145</v>
      </c>
      <c r="B31" t="s">
        <v>207</v>
      </c>
      <c r="D31">
        <v>1.2999999999999999E-3</v>
      </c>
    </row>
    <row r="33" spans="1:4">
      <c r="B33" s="16" t="s">
        <v>207</v>
      </c>
      <c r="C33" s="16" t="s">
        <v>210</v>
      </c>
      <c r="D33" t="s">
        <v>206</v>
      </c>
    </row>
    <row r="34" spans="1:4">
      <c r="A34" t="s">
        <v>214</v>
      </c>
      <c r="B34" s="65">
        <v>1</v>
      </c>
      <c r="C34" s="60">
        <v>0.1</v>
      </c>
      <c r="D34">
        <f>$D$30*EXP($D$31*B34)</f>
        <v>0.10013008453662858</v>
      </c>
    </row>
    <row r="35" spans="1:4">
      <c r="A35" t="s">
        <v>215</v>
      </c>
      <c r="B35" s="59">
        <v>3600</v>
      </c>
      <c r="C35" s="60">
        <v>10</v>
      </c>
      <c r="D35">
        <f>$D$30*EXP($D$31*B35)</f>
        <v>10.777007257140047</v>
      </c>
    </row>
    <row r="50" spans="1:4">
      <c r="A50" s="39" t="s">
        <v>209</v>
      </c>
    </row>
    <row r="51" spans="1:4">
      <c r="A51" t="s">
        <v>147</v>
      </c>
      <c r="B51" t="s">
        <v>205</v>
      </c>
      <c r="C51" t="s">
        <v>219</v>
      </c>
      <c r="D51">
        <v>-4.0000000000000001E-3</v>
      </c>
    </row>
    <row r="52" spans="1:4">
      <c r="A52" t="s">
        <v>145</v>
      </c>
      <c r="B52" t="s">
        <v>209</v>
      </c>
      <c r="C52" t="s">
        <v>220</v>
      </c>
      <c r="D52">
        <v>0.39610000000000001</v>
      </c>
    </row>
    <row r="53" spans="1:4">
      <c r="C53" t="s">
        <v>221</v>
      </c>
      <c r="D53">
        <v>9.6000000000000002E-2</v>
      </c>
    </row>
    <row r="55" spans="1:4">
      <c r="B55" s="16" t="s">
        <v>209</v>
      </c>
      <c r="C55" s="16" t="s">
        <v>210</v>
      </c>
      <c r="D55" t="s">
        <v>206</v>
      </c>
    </row>
    <row r="56" spans="1:4">
      <c r="A56" t="s">
        <v>214</v>
      </c>
      <c r="B56" s="65">
        <v>0.01</v>
      </c>
      <c r="C56" s="60">
        <v>0.1</v>
      </c>
      <c r="D56">
        <f>$D$30*EXP($D$31*B56)</f>
        <v>0.10000130000845005</v>
      </c>
    </row>
    <row r="57" spans="1:4">
      <c r="A57" t="s">
        <v>217</v>
      </c>
      <c r="B57" s="59">
        <v>50</v>
      </c>
      <c r="C57" s="60">
        <v>10</v>
      </c>
      <c r="D57">
        <f>$D$30*EXP($D$31*B57)</f>
        <v>0.10671590243841927</v>
      </c>
    </row>
    <row r="58" spans="1:4">
      <c r="A58" t="s">
        <v>218</v>
      </c>
      <c r="B58">
        <v>100</v>
      </c>
      <c r="C58">
        <v>0.1</v>
      </c>
    </row>
  </sheetData>
  <sheetProtection password="F05D" sheet="1" objects="1" scenarios="1"/>
  <pageMargins left="0.7" right="0.7" top="0.78740157499999996" bottom="0.78740157499999996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P36" sqref="P36"/>
    </sheetView>
  </sheetViews>
  <sheetFormatPr baseColWidth="10" defaultRowHeight="15"/>
  <cols>
    <col min="2" max="2" width="16.28515625" customWidth="1"/>
    <col min="3" max="3" width="11.42578125" customWidth="1"/>
    <col min="4" max="4" width="23.140625" customWidth="1"/>
  </cols>
  <sheetData>
    <row r="1" spans="1:4" ht="18.75">
      <c r="A1" s="51" t="str">
        <f>'I. techn. Bewertung'!A16</f>
        <v>b. User-Umsatz</v>
      </c>
    </row>
    <row r="2" spans="1:4">
      <c r="A2" s="57"/>
      <c r="B2" s="59"/>
    </row>
    <row r="3" spans="1:4">
      <c r="B3" s="59"/>
    </row>
    <row r="5" spans="1:4">
      <c r="A5" t="s">
        <v>147</v>
      </c>
      <c r="B5" t="s">
        <v>205</v>
      </c>
      <c r="D5">
        <v>0.86867000000000005</v>
      </c>
    </row>
    <row r="6" spans="1:4">
      <c r="A6" t="s">
        <v>145</v>
      </c>
      <c r="B6" t="s">
        <v>199</v>
      </c>
      <c r="D6">
        <v>6</v>
      </c>
    </row>
    <row r="8" spans="1:4">
      <c r="B8" s="16" t="s">
        <v>199</v>
      </c>
      <c r="C8" s="16" t="s">
        <v>210</v>
      </c>
      <c r="D8" t="s">
        <v>206</v>
      </c>
    </row>
    <row r="9" spans="1:4">
      <c r="A9" t="s">
        <v>214</v>
      </c>
      <c r="B9" s="65">
        <v>1E-3</v>
      </c>
      <c r="C9" s="60">
        <v>9.9999999999999995E-7</v>
      </c>
      <c r="D9">
        <f>$D$5*LN(B9)+D6</f>
        <v>-5.5977819341279655E-4</v>
      </c>
    </row>
    <row r="10" spans="1:4">
      <c r="A10" t="s">
        <v>215</v>
      </c>
      <c r="B10" s="59">
        <v>100</v>
      </c>
      <c r="C10" s="60">
        <v>10</v>
      </c>
      <c r="D10">
        <f>$D$5*LN(B10)+D6</f>
        <v>10.000373185462276</v>
      </c>
    </row>
  </sheetData>
  <sheetProtection password="F05D" sheet="1" objects="1" scenarios="1"/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P35" sqref="P35"/>
    </sheetView>
  </sheetViews>
  <sheetFormatPr baseColWidth="10" defaultRowHeight="15"/>
  <cols>
    <col min="2" max="2" width="16.28515625" customWidth="1"/>
    <col min="3" max="3" width="11.42578125" customWidth="1"/>
    <col min="4" max="4" width="18.42578125" customWidth="1"/>
  </cols>
  <sheetData>
    <row r="1" spans="1:4" ht="18.75">
      <c r="A1" s="51" t="str">
        <f>'I. techn. Bewertung'!A55</f>
        <v>Sichtbarkeit</v>
      </c>
    </row>
    <row r="4" spans="1:4">
      <c r="A4" t="s">
        <v>147</v>
      </c>
      <c r="B4" t="s">
        <v>205</v>
      </c>
      <c r="D4">
        <v>0.1</v>
      </c>
    </row>
    <row r="5" spans="1:4">
      <c r="A5" t="s">
        <v>145</v>
      </c>
      <c r="B5" t="s">
        <v>222</v>
      </c>
      <c r="D5">
        <v>6.7000000000000002E-4</v>
      </c>
    </row>
    <row r="7" spans="1:4">
      <c r="B7" t="s">
        <v>222</v>
      </c>
      <c r="C7" s="16" t="s">
        <v>210</v>
      </c>
      <c r="D7" t="s">
        <v>206</v>
      </c>
    </row>
    <row r="8" spans="1:4">
      <c r="A8" t="s">
        <v>214</v>
      </c>
      <c r="B8" s="59">
        <v>1E-3</v>
      </c>
      <c r="C8" s="60">
        <v>0</v>
      </c>
      <c r="D8">
        <f>$D$4*EXP($D$5*B8)</f>
        <v>0.10000006700002245</v>
      </c>
    </row>
    <row r="9" spans="1:4">
      <c r="A9" t="s">
        <v>215</v>
      </c>
      <c r="B9" s="59">
        <v>7000</v>
      </c>
      <c r="C9" s="60">
        <v>10</v>
      </c>
      <c r="D9">
        <f t="shared" ref="D9" si="0">$D$4*EXP($D$5*B9)</f>
        <v>10.885317980741604</v>
      </c>
    </row>
    <row r="10" spans="1:4">
      <c r="B10" s="59"/>
      <c r="C10" s="60"/>
    </row>
    <row r="11" spans="1:4">
      <c r="A11" s="57"/>
      <c r="B11" s="59"/>
    </row>
    <row r="12" spans="1:4">
      <c r="A12" s="58" t="s">
        <v>5</v>
      </c>
      <c r="B12" s="61">
        <f>D4*EXP('I. techn. Bewertung'!C56*D5)</f>
        <v>0.10006702245001356</v>
      </c>
    </row>
    <row r="13" spans="1:4">
      <c r="A13" s="57"/>
      <c r="B13" s="59"/>
    </row>
    <row r="14" spans="1:4">
      <c r="A14" s="57"/>
      <c r="B14" s="59"/>
    </row>
    <row r="15" spans="1:4">
      <c r="A15" s="57"/>
      <c r="B15" s="59"/>
    </row>
    <row r="16" spans="1:4">
      <c r="A16" s="57"/>
      <c r="B16" s="59"/>
    </row>
    <row r="17" spans="1:8">
      <c r="A17" s="57"/>
      <c r="B17" s="59"/>
    </row>
    <row r="18" spans="1:8">
      <c r="A18" s="57"/>
      <c r="B18" s="59"/>
    </row>
    <row r="19" spans="1:8">
      <c r="A19" s="57"/>
      <c r="B19" s="59"/>
    </row>
    <row r="20" spans="1:8">
      <c r="A20" s="57"/>
      <c r="B20" s="59"/>
      <c r="G20" s="16"/>
      <c r="H20" s="16"/>
    </row>
    <row r="21" spans="1:8">
      <c r="A21" s="57"/>
      <c r="B21" s="59"/>
      <c r="G21" s="59"/>
      <c r="H21" s="57"/>
    </row>
    <row r="22" spans="1:8">
      <c r="A22" s="57"/>
      <c r="B22" s="59"/>
      <c r="G22" s="59"/>
      <c r="H22" s="57"/>
    </row>
    <row r="23" spans="1:8">
      <c r="A23" s="57"/>
      <c r="B23" s="59"/>
      <c r="G23" s="59"/>
      <c r="H23" s="57"/>
    </row>
    <row r="24" spans="1:8">
      <c r="A24" s="57"/>
      <c r="B24" s="59"/>
      <c r="G24" s="59"/>
      <c r="H24" s="57"/>
    </row>
    <row r="25" spans="1:8">
      <c r="A25" s="57"/>
      <c r="B25" s="59"/>
      <c r="G25" s="59"/>
      <c r="H25" s="57"/>
    </row>
    <row r="26" spans="1:8">
      <c r="A26" s="57"/>
      <c r="B26" s="59"/>
      <c r="G26" s="58"/>
      <c r="H26" s="57"/>
    </row>
    <row r="27" spans="1:8">
      <c r="A27" s="57"/>
      <c r="B27" s="59"/>
    </row>
    <row r="28" spans="1:8">
      <c r="B28" s="59"/>
    </row>
  </sheetData>
  <sheetProtection password="F05D" sheet="1" objects="1" scenarios="1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FC72"/>
  <sheetViews>
    <sheetView showWhiteSpace="0" view="pageLayout" zoomScaleNormal="100" workbookViewId="0">
      <selection activeCell="C4" sqref="C4"/>
    </sheetView>
  </sheetViews>
  <sheetFormatPr baseColWidth="10" defaultRowHeight="15"/>
  <cols>
    <col min="1" max="1" width="31.5703125" customWidth="1"/>
    <col min="2" max="2" width="11.140625" customWidth="1"/>
    <col min="3" max="3" width="14.42578125" style="19" customWidth="1"/>
    <col min="4" max="4" width="11.5703125" style="19" bestFit="1" customWidth="1"/>
    <col min="5" max="5" width="10.85546875" bestFit="1" customWidth="1"/>
    <col min="6" max="6" width="11.5703125" style="33" bestFit="1" customWidth="1"/>
    <col min="8" max="8" width="26.28515625" customWidth="1"/>
  </cols>
  <sheetData>
    <row r="1" spans="1:9" ht="23.25">
      <c r="A1" s="25" t="s">
        <v>241</v>
      </c>
      <c r="D1"/>
    </row>
    <row r="2" spans="1:9">
      <c r="A2" s="156" t="s">
        <v>253</v>
      </c>
      <c r="C2" s="150"/>
      <c r="D2"/>
    </row>
    <row r="3" spans="1:9">
      <c r="A3" s="158"/>
      <c r="C3" s="150"/>
      <c r="D3"/>
    </row>
    <row r="4" spans="1:9">
      <c r="A4" s="159" t="s">
        <v>273</v>
      </c>
      <c r="C4" s="150"/>
      <c r="D4"/>
    </row>
    <row r="5" spans="1:9">
      <c r="A5" s="159" t="s">
        <v>274</v>
      </c>
      <c r="C5" s="150"/>
      <c r="D5"/>
    </row>
    <row r="6" spans="1:9">
      <c r="A6" s="159" t="s">
        <v>275</v>
      </c>
      <c r="C6" s="150"/>
      <c r="D6"/>
    </row>
    <row r="7" spans="1:9">
      <c r="A7" s="115"/>
      <c r="B7" s="115" t="s">
        <v>190</v>
      </c>
      <c r="C7" s="115" t="s">
        <v>15</v>
      </c>
      <c r="D7" s="193" t="s">
        <v>265</v>
      </c>
      <c r="E7" s="193"/>
      <c r="F7" s="193"/>
    </row>
    <row r="8" spans="1:9" ht="15.75" thickBot="1">
      <c r="A8" s="57"/>
      <c r="B8" s="57"/>
      <c r="C8" s="57"/>
      <c r="D8" s="57"/>
      <c r="E8" s="57"/>
      <c r="F8" s="57"/>
    </row>
    <row r="9" spans="1:9" s="37" customFormat="1" ht="15" customHeight="1">
      <c r="A9" s="190" t="s">
        <v>271</v>
      </c>
      <c r="B9" s="191"/>
      <c r="C9" s="191"/>
      <c r="D9" s="191"/>
      <c r="E9" s="191"/>
      <c r="F9" s="192"/>
    </row>
    <row r="10" spans="1:9" s="37" customFormat="1" ht="15" customHeight="1">
      <c r="A10" s="147"/>
      <c r="B10" s="151">
        <v>1</v>
      </c>
      <c r="C10" s="137">
        <f>B10/3</f>
        <v>0.33333333333333331</v>
      </c>
      <c r="D10" s="53"/>
      <c r="E10" s="38"/>
      <c r="F10" s="128"/>
    </row>
    <row r="11" spans="1:9" s="37" customFormat="1" ht="15" customHeight="1">
      <c r="A11" s="129" t="s">
        <v>194</v>
      </c>
      <c r="B11" s="149" t="s">
        <v>270</v>
      </c>
      <c r="C11" s="152">
        <v>1000000</v>
      </c>
      <c r="D11" s="94">
        <f>'a. User-Fkt.'!B12</f>
        <v>1.0470744109569372</v>
      </c>
      <c r="E11" s="62">
        <f>IF(C11="",0,$C$10*D11)</f>
        <v>0.34902480365231237</v>
      </c>
      <c r="F11" s="128"/>
    </row>
    <row r="12" spans="1:9" s="37" customFormat="1" ht="15" customHeight="1">
      <c r="A12" s="129" t="s">
        <v>195</v>
      </c>
      <c r="B12" s="149" t="s">
        <v>270</v>
      </c>
      <c r="C12" s="152">
        <v>1000000</v>
      </c>
      <c r="D12" s="94">
        <f>'a. User-Fkt.'!B14</f>
        <v>1.0470744109569372</v>
      </c>
      <c r="E12" s="62">
        <f>IF(C12="",0,$C$10*D12)</f>
        <v>0.34902480365231237</v>
      </c>
      <c r="F12" s="128"/>
    </row>
    <row r="13" spans="1:9" s="37" customFormat="1" ht="15" customHeight="1">
      <c r="A13" s="129" t="s">
        <v>196</v>
      </c>
      <c r="B13" s="149" t="s">
        <v>270</v>
      </c>
      <c r="C13" s="152">
        <v>1200000</v>
      </c>
      <c r="D13" s="94">
        <f>'a. User-Fkt.'!B16</f>
        <v>1.0027638123065152</v>
      </c>
      <c r="E13" s="62">
        <f>IF(C13="",0,$C$10*D13)</f>
        <v>0.33425460410217173</v>
      </c>
      <c r="F13" s="128"/>
    </row>
    <row r="14" spans="1:9" s="37" customFormat="1" ht="15" customHeight="1" thickBot="1">
      <c r="A14" s="123"/>
      <c r="B14" s="134"/>
      <c r="C14" s="138"/>
      <c r="D14" s="138"/>
      <c r="E14" s="139"/>
      <c r="F14" s="140">
        <f>SUM(E11:E13)</f>
        <v>1.0323042114067964</v>
      </c>
      <c r="H14" s="57"/>
      <c r="I14" s="57"/>
    </row>
    <row r="15" spans="1:9" s="37" customFormat="1" ht="15" hidden="1" customHeight="1">
      <c r="A15" s="39"/>
      <c r="B15" s="35"/>
      <c r="C15" s="53"/>
      <c r="D15" s="53"/>
      <c r="E15" s="38"/>
      <c r="F15" s="36"/>
      <c r="H15" s="57"/>
      <c r="I15" s="57"/>
    </row>
    <row r="16" spans="1:9" s="37" customFormat="1" ht="15" hidden="1" customHeight="1">
      <c r="A16" s="51" t="s">
        <v>242</v>
      </c>
      <c r="B16" s="70">
        <v>0</v>
      </c>
      <c r="C16" s="71"/>
      <c r="D16" s="72"/>
      <c r="E16" s="73"/>
      <c r="F16" s="45"/>
      <c r="H16" s="57"/>
      <c r="I16" s="57"/>
    </row>
    <row r="17" spans="1:9" s="37" customFormat="1" ht="15" hidden="1" customHeight="1">
      <c r="A17" s="44"/>
      <c r="B17" s="35"/>
      <c r="C17" s="53"/>
      <c r="D17" s="53"/>
      <c r="E17" s="38"/>
      <c r="F17" s="43"/>
      <c r="I17" s="57"/>
    </row>
    <row r="18" spans="1:9" s="37" customFormat="1" ht="15" hidden="1" customHeight="1">
      <c r="A18" s="83" t="s">
        <v>199</v>
      </c>
      <c r="B18" s="35"/>
      <c r="C18" s="82">
        <v>0.3</v>
      </c>
      <c r="D18" s="34"/>
      <c r="E18" s="62"/>
      <c r="F18" s="90">
        <f>B16*IF(C18=0,0,'b. User-Umsatz-Fkt.'!D5*LN(C18*100)+'b. User-Umsatz-Fkt.'!D6)</f>
        <v>0</v>
      </c>
    </row>
    <row r="19" spans="1:9" s="37" customFormat="1" ht="15" hidden="1" customHeight="1">
      <c r="A19" s="42"/>
      <c r="B19" s="40"/>
      <c r="C19" s="49"/>
      <c r="D19" s="49"/>
      <c r="E19" s="48"/>
      <c r="F19" s="75"/>
    </row>
    <row r="20" spans="1:9" s="37" customFormat="1" ht="15" hidden="1" customHeight="1">
      <c r="A20" s="39"/>
      <c r="B20" s="35"/>
      <c r="C20" s="53"/>
      <c r="D20" s="53"/>
      <c r="E20" s="38"/>
      <c r="F20" s="62"/>
    </row>
    <row r="21" spans="1:9" s="37" customFormat="1" ht="15" hidden="1" customHeight="1">
      <c r="A21" s="51" t="s">
        <v>243</v>
      </c>
      <c r="B21" s="70">
        <v>0</v>
      </c>
      <c r="C21" s="71">
        <f>B21/3</f>
        <v>0</v>
      </c>
      <c r="D21" s="72"/>
      <c r="E21" s="73"/>
      <c r="F21" s="45"/>
    </row>
    <row r="22" spans="1:9" s="37" customFormat="1" ht="15" hidden="1" customHeight="1">
      <c r="A22" s="44"/>
      <c r="B22" s="35"/>
      <c r="C22" s="53"/>
      <c r="D22" s="53"/>
      <c r="E22" s="38"/>
      <c r="F22" s="43"/>
    </row>
    <row r="23" spans="1:9" s="37" customFormat="1" ht="15" hidden="1" customHeight="1">
      <c r="A23" s="79" t="s">
        <v>216</v>
      </c>
      <c r="B23" s="35"/>
      <c r="C23" s="82">
        <v>0.7</v>
      </c>
      <c r="D23" s="61">
        <f>'c. User-Rot.-Fkt.'!D4*EXP('c. User-Rot.-Fkt.'!D5*C23*100)</f>
        <v>0.39676349471650801</v>
      </c>
      <c r="E23" s="62">
        <f>IF(C23="",0,$C$21*D23)</f>
        <v>0</v>
      </c>
      <c r="F23" s="43"/>
    </row>
    <row r="24" spans="1:9" s="37" customFormat="1" ht="15" hidden="1" customHeight="1">
      <c r="A24" s="44"/>
      <c r="B24" s="35"/>
      <c r="C24" s="53"/>
      <c r="D24" s="53"/>
      <c r="E24" s="38"/>
      <c r="F24" s="43"/>
    </row>
    <row r="25" spans="1:9" s="37" customFormat="1" ht="15" hidden="1" customHeight="1">
      <c r="A25" s="83" t="s">
        <v>231</v>
      </c>
      <c r="B25" s="35"/>
      <c r="C25" s="81">
        <v>70</v>
      </c>
      <c r="D25" s="61">
        <f>'c. User-Rot.-Fkt.'!D30*EXP('c. User-Rot.-Fkt.'!D31*'I. techn. Bewertung'!C25)</f>
        <v>0.10952690052584656</v>
      </c>
      <c r="E25" s="62">
        <f>IF(C25="",0,$C$21*D25)</f>
        <v>0</v>
      </c>
      <c r="F25" s="43"/>
    </row>
    <row r="26" spans="1:9" s="37" customFormat="1" ht="15" hidden="1" customHeight="1">
      <c r="A26" s="44"/>
      <c r="B26" s="35"/>
      <c r="C26" s="53"/>
      <c r="D26" s="53"/>
      <c r="E26" s="38"/>
      <c r="F26" s="43"/>
    </row>
    <row r="27" spans="1:9" s="37" customFormat="1" ht="15" hidden="1" customHeight="1">
      <c r="A27" s="79" t="s">
        <v>209</v>
      </c>
      <c r="B27" s="35"/>
      <c r="C27" s="82">
        <v>0.77</v>
      </c>
      <c r="D27" s="61">
        <f>('c. User-Rot.-Fkt.'!D51*('I. techn. Bewertung'!C27*100)^2+'c. User-Rot.-Fkt.'!D52*('I. techn. Bewertung'!C27*100)+'c. User-Rot.-Fkt.'!D53)</f>
        <v>6.8796999999999997</v>
      </c>
      <c r="E27" s="62">
        <f>IF(C27="",0,$C$21*D27)</f>
        <v>0</v>
      </c>
      <c r="F27" s="43"/>
    </row>
    <row r="28" spans="1:9" s="37" customFormat="1" ht="15" hidden="1" customHeight="1">
      <c r="A28" s="76"/>
      <c r="B28" s="35"/>
      <c r="C28" s="53"/>
      <c r="D28" s="53"/>
      <c r="E28" s="48"/>
      <c r="F28" s="43"/>
    </row>
    <row r="29" spans="1:9" s="37" customFormat="1" ht="15" hidden="1" customHeight="1">
      <c r="A29" s="77"/>
      <c r="B29" s="40"/>
      <c r="C29" s="49"/>
      <c r="D29" s="49"/>
      <c r="E29" s="48"/>
      <c r="F29" s="47">
        <f>SUM(E23:E27)</f>
        <v>0</v>
      </c>
    </row>
    <row r="30" spans="1:9" s="37" customFormat="1" ht="15" hidden="1" customHeight="1">
      <c r="A30" s="55"/>
      <c r="B30" s="35"/>
      <c r="C30" s="53"/>
      <c r="D30" s="53"/>
      <c r="E30" s="38"/>
      <c r="F30" s="36"/>
    </row>
    <row r="31" spans="1:9" s="37" customFormat="1" ht="15" customHeight="1" thickBot="1">
      <c r="A31" s="55"/>
      <c r="B31" s="35"/>
      <c r="C31" s="53"/>
      <c r="D31" s="53"/>
      <c r="E31" s="38"/>
      <c r="F31" s="36"/>
    </row>
    <row r="32" spans="1:9" s="37" customFormat="1" ht="15" customHeight="1">
      <c r="A32" s="190" t="s">
        <v>272</v>
      </c>
      <c r="B32" s="191"/>
      <c r="C32" s="191"/>
      <c r="D32" s="191"/>
      <c r="E32" s="191"/>
      <c r="F32" s="192"/>
    </row>
    <row r="33" spans="1:7 16383:16383" s="37" customFormat="1" ht="15" customHeight="1">
      <c r="A33" s="131"/>
      <c r="B33" s="35"/>
      <c r="C33" s="53"/>
      <c r="D33" s="53"/>
      <c r="E33" s="38"/>
      <c r="F33" s="128"/>
    </row>
    <row r="34" spans="1:7 16383:16383" s="37" customFormat="1" ht="15" customHeight="1">
      <c r="A34" s="129" t="s">
        <v>211</v>
      </c>
      <c r="B34" s="149" t="s">
        <v>269</v>
      </c>
      <c r="C34" s="153">
        <v>0.79</v>
      </c>
      <c r="D34" s="85"/>
      <c r="E34" s="62"/>
      <c r="F34" s="141"/>
      <c r="XFC34" s="56"/>
    </row>
    <row r="35" spans="1:7 16383:16383" s="37" customFormat="1" ht="15" customHeight="1">
      <c r="A35" s="129" t="s">
        <v>212</v>
      </c>
      <c r="B35" s="149" t="s">
        <v>269</v>
      </c>
      <c r="C35" s="153">
        <v>0.65</v>
      </c>
      <c r="D35" s="85"/>
      <c r="E35" s="62"/>
      <c r="F35" s="141"/>
    </row>
    <row r="36" spans="1:7 16383:16383" s="37" customFormat="1" ht="15" customHeight="1">
      <c r="A36" s="129" t="s">
        <v>213</v>
      </c>
      <c r="B36" s="149" t="s">
        <v>269</v>
      </c>
      <c r="C36" s="153">
        <v>0.75</v>
      </c>
      <c r="D36" s="34"/>
      <c r="E36" s="62"/>
      <c r="F36" s="141"/>
    </row>
    <row r="37" spans="1:7 16383:16383" s="37" customFormat="1" ht="15" customHeight="1" thickBot="1">
      <c r="A37" s="123"/>
      <c r="B37" s="124"/>
      <c r="C37" s="142"/>
      <c r="D37" s="143" t="s">
        <v>276</v>
      </c>
      <c r="E37" s="144">
        <f>'a. onpage-Fkt.'!B12</f>
        <v>0.94470427423683268</v>
      </c>
      <c r="F37" s="136"/>
    </row>
    <row r="38" spans="1:7 16383:16383" s="37" customFormat="1" ht="15" customHeight="1" thickBot="1">
      <c r="A38" s="39"/>
      <c r="B38" s="35"/>
      <c r="C38" s="53"/>
      <c r="D38" s="53"/>
      <c r="E38" s="38"/>
      <c r="F38" s="36"/>
    </row>
    <row r="39" spans="1:7 16383:16383" s="37" customFormat="1" ht="15" customHeight="1">
      <c r="A39" s="190" t="s">
        <v>266</v>
      </c>
      <c r="B39" s="191"/>
      <c r="C39" s="191"/>
      <c r="D39" s="191"/>
      <c r="E39" s="191"/>
      <c r="F39" s="192"/>
    </row>
    <row r="40" spans="1:7 16383:16383" s="37" customFormat="1" ht="15" customHeight="1">
      <c r="A40" s="146"/>
      <c r="B40" s="151">
        <v>1</v>
      </c>
      <c r="C40" s="53">
        <f>B40/4</f>
        <v>0.25</v>
      </c>
      <c r="D40" s="35"/>
      <c r="E40" s="11"/>
      <c r="F40" s="128"/>
    </row>
    <row r="41" spans="1:7 16383:16383" s="37" customFormat="1" ht="15" customHeight="1">
      <c r="A41" s="129" t="s">
        <v>200</v>
      </c>
      <c r="B41" s="160" t="s">
        <v>268</v>
      </c>
      <c r="C41" s="154">
        <v>1229</v>
      </c>
      <c r="D41" s="94">
        <f>'a. Backlinks-Fkt.'!B14</f>
        <v>5.0978609481150201</v>
      </c>
      <c r="E41" s="62">
        <f>IF(C41="",0,$C$40*D41)</f>
        <v>1.274465237028755</v>
      </c>
      <c r="F41" s="130"/>
    </row>
    <row r="42" spans="1:7 16383:16383" s="37" customFormat="1" ht="15" customHeight="1">
      <c r="A42" s="129" t="s">
        <v>201</v>
      </c>
      <c r="B42" s="160" t="s">
        <v>268</v>
      </c>
      <c r="C42" s="154">
        <v>275</v>
      </c>
      <c r="D42" s="94">
        <f>'a. Backlinks-Fkt.'!B16</f>
        <v>4.8298614668834849</v>
      </c>
      <c r="E42" s="62">
        <f>IF(C42="",0,$C$40*D42)</f>
        <v>1.2074653667208712</v>
      </c>
      <c r="F42" s="130"/>
    </row>
    <row r="43" spans="1:7 16383:16383" s="37" customFormat="1" ht="15" customHeight="1">
      <c r="A43" s="129" t="s">
        <v>202</v>
      </c>
      <c r="B43" s="160" t="s">
        <v>268</v>
      </c>
      <c r="C43" s="154">
        <v>232</v>
      </c>
      <c r="D43" s="94">
        <f>'a. Backlinks-Fkt.'!B18</f>
        <v>4.6836494658958596</v>
      </c>
      <c r="E43" s="62">
        <f>IF(C43="",0,$C$40*D43)</f>
        <v>1.1709123664739649</v>
      </c>
      <c r="F43" s="132"/>
    </row>
    <row r="44" spans="1:7 16383:16383" s="37" customFormat="1" ht="15" customHeight="1">
      <c r="A44" s="129" t="s">
        <v>203</v>
      </c>
      <c r="B44" s="160" t="s">
        <v>268</v>
      </c>
      <c r="C44" s="154">
        <v>181</v>
      </c>
      <c r="D44" s="94">
        <f>'a. Backlinks-Fkt.'!B20</f>
        <v>4.6786473281392436</v>
      </c>
      <c r="E44" s="68">
        <f>IF(C44="",0,$C$40*D44)</f>
        <v>1.1696618320348109</v>
      </c>
      <c r="F44" s="132"/>
    </row>
    <row r="45" spans="1:7 16383:16383" s="37" customFormat="1" ht="15" customHeight="1" thickBot="1">
      <c r="A45" s="123"/>
      <c r="B45" s="133"/>
      <c r="C45" s="134"/>
      <c r="D45" s="134"/>
      <c r="E45" s="135"/>
      <c r="F45" s="136">
        <f>SUM(E41:E44)</f>
        <v>4.8225048022584023</v>
      </c>
    </row>
    <row r="46" spans="1:7 16383:16383" s="37" customFormat="1" ht="15" customHeight="1" thickBot="1">
      <c r="A46" s="39"/>
      <c r="B46" s="39"/>
      <c r="C46" s="35"/>
      <c r="D46" s="35"/>
      <c r="E46" s="38"/>
      <c r="F46" s="36"/>
      <c r="G46" s="34"/>
    </row>
    <row r="47" spans="1:7 16383:16383" s="37" customFormat="1" ht="15" customHeight="1">
      <c r="A47" s="190" t="s">
        <v>267</v>
      </c>
      <c r="B47" s="191"/>
      <c r="C47" s="191"/>
      <c r="D47" s="191"/>
      <c r="E47" s="191"/>
      <c r="F47" s="192"/>
      <c r="G47" s="78"/>
    </row>
    <row r="48" spans="1:7 16383:16383" s="37" customFormat="1" ht="15" customHeight="1">
      <c r="A48" s="146"/>
      <c r="B48" s="56"/>
      <c r="C48" s="35"/>
      <c r="D48" s="35"/>
      <c r="E48" s="35"/>
      <c r="F48" s="12"/>
      <c r="G48" s="88"/>
    </row>
    <row r="49" spans="1:8" s="37" customFormat="1" ht="15" customHeight="1">
      <c r="A49" s="121" t="s">
        <v>250</v>
      </c>
      <c r="B49" s="11"/>
      <c r="C49" s="155">
        <v>38200</v>
      </c>
      <c r="D49" s="104"/>
      <c r="E49" s="50"/>
      <c r="F49" s="12"/>
      <c r="G49" s="89"/>
      <c r="H49" s="105"/>
    </row>
    <row r="50" spans="1:8" s="37" customFormat="1" ht="15" customHeight="1">
      <c r="A50" s="122" t="s">
        <v>239</v>
      </c>
      <c r="B50" s="11"/>
      <c r="C50" s="157">
        <f ca="1">DATEDIF(C49,TODAY(),"y")</f>
        <v>14</v>
      </c>
      <c r="D50" s="35"/>
      <c r="E50" s="11"/>
      <c r="F50" s="12"/>
      <c r="G50" s="88"/>
      <c r="H50" s="106"/>
    </row>
    <row r="51" spans="1:8" s="37" customFormat="1" ht="15" customHeight="1" thickBot="1">
      <c r="A51" s="123"/>
      <c r="B51" s="124"/>
      <c r="C51" s="125"/>
      <c r="D51" s="124"/>
      <c r="E51" s="126">
        <f ca="1">'a. Alter-Fkt.'!B12</f>
        <v>1.6120845718905967</v>
      </c>
      <c r="F51" s="127"/>
      <c r="G51" s="88"/>
    </row>
    <row r="52" spans="1:8" s="37" customFormat="1" ht="15" hidden="1" customHeight="1">
      <c r="A52" s="39"/>
      <c r="B52" s="39"/>
      <c r="C52" s="35"/>
      <c r="D52" s="35"/>
      <c r="E52" s="38"/>
      <c r="F52" s="36"/>
      <c r="G52" s="78"/>
    </row>
    <row r="53" spans="1:8" s="37" customFormat="1" ht="15" hidden="1" customHeight="1">
      <c r="A53" s="39"/>
      <c r="B53" s="39"/>
      <c r="C53" s="35"/>
      <c r="D53" s="35"/>
      <c r="E53" s="38"/>
      <c r="F53" s="36"/>
    </row>
    <row r="54" spans="1:8" s="37" customFormat="1" ht="15" hidden="1" customHeight="1">
      <c r="A54" s="39"/>
      <c r="B54" s="39"/>
      <c r="C54" s="35"/>
      <c r="D54" s="35"/>
      <c r="E54" s="38"/>
      <c r="F54" s="36"/>
    </row>
    <row r="55" spans="1:8" s="37" customFormat="1" ht="15" hidden="1" customHeight="1">
      <c r="A55" s="51" t="s">
        <v>244</v>
      </c>
      <c r="B55" s="70">
        <v>0</v>
      </c>
      <c r="C55" s="46"/>
      <c r="D55" s="46"/>
      <c r="E55" s="73"/>
      <c r="F55" s="45"/>
    </row>
    <row r="56" spans="1:8" s="37" customFormat="1" ht="15" hidden="1" customHeight="1">
      <c r="A56" s="83" t="s">
        <v>204</v>
      </c>
      <c r="B56" s="39"/>
      <c r="C56" s="69">
        <v>1</v>
      </c>
      <c r="D56" s="61">
        <f>'Sistrix-Fkt.'!B12</f>
        <v>0.10006702245001356</v>
      </c>
      <c r="E56" s="38"/>
      <c r="F56" s="43">
        <f>D56*B55</f>
        <v>0</v>
      </c>
    </row>
    <row r="57" spans="1:8" s="37" customFormat="1" ht="15" hidden="1" customHeight="1">
      <c r="A57" s="42"/>
      <c r="B57" s="41"/>
      <c r="C57" s="40"/>
      <c r="D57" s="40"/>
      <c r="E57" s="48"/>
      <c r="F57" s="47"/>
    </row>
    <row r="58" spans="1:8" s="37" customFormat="1" ht="15" hidden="1" customHeight="1">
      <c r="A58" s="39"/>
      <c r="B58" s="39"/>
      <c r="C58" s="35"/>
      <c r="D58" s="35"/>
      <c r="E58" s="38"/>
      <c r="F58" s="36"/>
    </row>
    <row r="59" spans="1:8" s="37" customFormat="1" ht="15" customHeight="1">
      <c r="A59" s="39"/>
      <c r="B59" s="39"/>
      <c r="C59" s="35"/>
      <c r="D59" s="35"/>
      <c r="E59" s="38"/>
      <c r="F59" s="36"/>
    </row>
    <row r="60" spans="1:8" s="37" customFormat="1" ht="15" customHeight="1">
      <c r="A60" s="39" t="s">
        <v>251</v>
      </c>
      <c r="B60" s="87">
        <f>SUM(F10:F29)</f>
        <v>1.0323042114067964</v>
      </c>
      <c r="C60" s="35" t="s">
        <v>145</v>
      </c>
      <c r="D60" s="87">
        <f>E37</f>
        <v>0.94470427423683268</v>
      </c>
      <c r="E60" s="38" t="s">
        <v>193</v>
      </c>
      <c r="F60" s="87">
        <f>B60*D60</f>
        <v>0.97522220082868349</v>
      </c>
    </row>
    <row r="61" spans="1:8" s="37" customFormat="1" ht="15" customHeight="1">
      <c r="A61" s="39" t="s">
        <v>252</v>
      </c>
      <c r="B61" s="87">
        <f>SUM(F40:F57)</f>
        <v>4.8225048022584023</v>
      </c>
      <c r="C61" s="35" t="s">
        <v>145</v>
      </c>
      <c r="D61" s="87">
        <f ca="1">E51</f>
        <v>1.6120845718905967</v>
      </c>
      <c r="E61" s="38" t="s">
        <v>193</v>
      </c>
      <c r="F61" s="145">
        <f ca="1">B61*D61</f>
        <v>7.7742855895890832</v>
      </c>
    </row>
    <row r="62" spans="1:8" s="37" customFormat="1" ht="15" customHeight="1">
      <c r="A62" s="39" t="s">
        <v>230</v>
      </c>
      <c r="C62" s="35"/>
      <c r="F62" s="87">
        <f ca="1">F60+F61</f>
        <v>8.7495077904177663</v>
      </c>
    </row>
    <row r="64" spans="1:8" ht="21">
      <c r="A64" s="116" t="s">
        <v>189</v>
      </c>
      <c r="B64" s="117"/>
      <c r="C64" s="118"/>
      <c r="D64" s="118"/>
      <c r="E64" s="119"/>
      <c r="F64" s="120">
        <f ca="1">'CC Value-Fkt.'!D4*EXP('CC Value-Fkt.'!D5*F62)</f>
        <v>1.9603489763016144</v>
      </c>
    </row>
    <row r="66" spans="1:6">
      <c r="A66" s="178" t="s">
        <v>260</v>
      </c>
      <c r="B66" s="175"/>
      <c r="C66" s="174"/>
      <c r="D66" s="174"/>
      <c r="E66" s="174"/>
      <c r="F66" s="179"/>
    </row>
    <row r="67" spans="1:6">
      <c r="A67" t="s">
        <v>264</v>
      </c>
      <c r="C67"/>
      <c r="D67"/>
      <c r="F67" s="177" t="s">
        <v>261</v>
      </c>
    </row>
    <row r="68" spans="1:6">
      <c r="A68" t="s">
        <v>262</v>
      </c>
      <c r="C68"/>
      <c r="D68"/>
      <c r="F68" s="177" t="s">
        <v>261</v>
      </c>
    </row>
    <row r="69" spans="1:6">
      <c r="A69" t="s">
        <v>263</v>
      </c>
      <c r="C69"/>
      <c r="D69"/>
      <c r="F69" s="177" t="s">
        <v>261</v>
      </c>
    </row>
    <row r="70" spans="1:6">
      <c r="C70"/>
      <c r="D70"/>
      <c r="F70"/>
    </row>
    <row r="71" spans="1:6">
      <c r="A71" s="184"/>
      <c r="B71" s="176"/>
      <c r="C71" s="15"/>
      <c r="D71" s="15"/>
      <c r="E71" s="15"/>
      <c r="F71" s="15"/>
    </row>
    <row r="72" spans="1:6">
      <c r="A72" s="15"/>
      <c r="B72" s="15"/>
      <c r="C72" s="186"/>
      <c r="D72" s="186"/>
      <c r="E72" s="15"/>
      <c r="F72" s="187"/>
    </row>
  </sheetData>
  <sheetProtection formatCells="0" formatColumns="0" formatRows="0" insertColumns="0" insertRows="0" selectLockedCells="1" sort="0"/>
  <mergeCells count="5">
    <mergeCell ref="A47:F47"/>
    <mergeCell ref="D7:F7"/>
    <mergeCell ref="A9:F9"/>
    <mergeCell ref="A32:F32"/>
    <mergeCell ref="A39:F39"/>
  </mergeCells>
  <hyperlinks>
    <hyperlink ref="A49" r:id="rId1"/>
    <hyperlink ref="B41" r:id="rId2"/>
    <hyperlink ref="B42:B44" r:id="rId3" display="lt. Sistrix"/>
    <hyperlink ref="B34" r:id="rId4"/>
    <hyperlink ref="B35:B36" r:id="rId5" display="lt. Onpage"/>
    <hyperlink ref="B11" r:id="rId6"/>
    <hyperlink ref="B12" r:id="rId7"/>
    <hyperlink ref="B13" r:id="rId8"/>
    <hyperlink ref="F67" r:id="rId9"/>
    <hyperlink ref="F68" r:id="rId10"/>
    <hyperlink ref="F69" r:id="rId11"/>
  </hyperlinks>
  <pageMargins left="0.6" right="0.33" top="0.61" bottom="0.78740157499999996" header="0.3" footer="0.3"/>
  <pageSetup paperSize="9" orientation="portrait" r:id="rId12"/>
  <headerFooter>
    <oddFooter>&amp;Cerstellt von: Torsten Montag, Gründerlexikon
http://www.gruenderlexikon.de</oddFooter>
  </headerFooter>
  <drawing r:id="rId13"/>
  <legacyDrawing r:id="rId14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7"/>
  <sheetViews>
    <sheetView view="pageLayout" zoomScaleNormal="100" workbookViewId="0">
      <pane ySplit="900"/>
      <selection activeCell="A2" sqref="A1:XFD1048576"/>
      <selection pane="bottomLeft" activeCell="D9" sqref="D9"/>
    </sheetView>
  </sheetViews>
  <sheetFormatPr baseColWidth="10" defaultRowHeight="15"/>
  <cols>
    <col min="1" max="1" width="31.42578125" style="11" customWidth="1"/>
    <col min="2" max="2" width="14.28515625" style="11" customWidth="1"/>
    <col min="3" max="3" width="13" style="11" customWidth="1"/>
    <col min="4" max="4" width="16.28515625" style="11" customWidth="1"/>
    <col min="5" max="5" width="15.42578125" style="11" customWidth="1"/>
    <col min="6" max="253" width="11.42578125" style="11"/>
    <col min="254" max="254" width="34" style="11" customWidth="1"/>
    <col min="255" max="257" width="11.42578125" style="11"/>
    <col min="258" max="258" width="3.42578125" style="11" customWidth="1"/>
    <col min="259" max="259" width="22.85546875" style="11" customWidth="1"/>
    <col min="260" max="260" width="2.5703125" style="11" customWidth="1"/>
    <col min="261" max="261" width="16.42578125" style="11" customWidth="1"/>
    <col min="262" max="509" width="11.42578125" style="11"/>
    <col min="510" max="510" width="34" style="11" customWidth="1"/>
    <col min="511" max="513" width="11.42578125" style="11"/>
    <col min="514" max="514" width="3.42578125" style="11" customWidth="1"/>
    <col min="515" max="515" width="22.85546875" style="11" customWidth="1"/>
    <col min="516" max="516" width="2.5703125" style="11" customWidth="1"/>
    <col min="517" max="517" width="16.42578125" style="11" customWidth="1"/>
    <col min="518" max="765" width="11.42578125" style="11"/>
    <col min="766" max="766" width="34" style="11" customWidth="1"/>
    <col min="767" max="769" width="11.42578125" style="11"/>
    <col min="770" max="770" width="3.42578125" style="11" customWidth="1"/>
    <col min="771" max="771" width="22.85546875" style="11" customWidth="1"/>
    <col min="772" max="772" width="2.5703125" style="11" customWidth="1"/>
    <col min="773" max="773" width="16.42578125" style="11" customWidth="1"/>
    <col min="774" max="1021" width="11.42578125" style="11"/>
    <col min="1022" max="1022" width="34" style="11" customWidth="1"/>
    <col min="1023" max="1025" width="11.42578125" style="11"/>
    <col min="1026" max="1026" width="3.42578125" style="11" customWidth="1"/>
    <col min="1027" max="1027" width="22.85546875" style="11" customWidth="1"/>
    <col min="1028" max="1028" width="2.5703125" style="11" customWidth="1"/>
    <col min="1029" max="1029" width="16.42578125" style="11" customWidth="1"/>
    <col min="1030" max="1277" width="11.42578125" style="11"/>
    <col min="1278" max="1278" width="34" style="11" customWidth="1"/>
    <col min="1279" max="1281" width="11.42578125" style="11"/>
    <col min="1282" max="1282" width="3.42578125" style="11" customWidth="1"/>
    <col min="1283" max="1283" width="22.85546875" style="11" customWidth="1"/>
    <col min="1284" max="1284" width="2.5703125" style="11" customWidth="1"/>
    <col min="1285" max="1285" width="16.42578125" style="11" customWidth="1"/>
    <col min="1286" max="1533" width="11.42578125" style="11"/>
    <col min="1534" max="1534" width="34" style="11" customWidth="1"/>
    <col min="1535" max="1537" width="11.42578125" style="11"/>
    <col min="1538" max="1538" width="3.42578125" style="11" customWidth="1"/>
    <col min="1539" max="1539" width="22.85546875" style="11" customWidth="1"/>
    <col min="1540" max="1540" width="2.5703125" style="11" customWidth="1"/>
    <col min="1541" max="1541" width="16.42578125" style="11" customWidth="1"/>
    <col min="1542" max="1789" width="11.42578125" style="11"/>
    <col min="1790" max="1790" width="34" style="11" customWidth="1"/>
    <col min="1791" max="1793" width="11.42578125" style="11"/>
    <col min="1794" max="1794" width="3.42578125" style="11" customWidth="1"/>
    <col min="1795" max="1795" width="22.85546875" style="11" customWidth="1"/>
    <col min="1796" max="1796" width="2.5703125" style="11" customWidth="1"/>
    <col min="1797" max="1797" width="16.42578125" style="11" customWidth="1"/>
    <col min="1798" max="2045" width="11.42578125" style="11"/>
    <col min="2046" max="2046" width="34" style="11" customWidth="1"/>
    <col min="2047" max="2049" width="11.42578125" style="11"/>
    <col min="2050" max="2050" width="3.42578125" style="11" customWidth="1"/>
    <col min="2051" max="2051" width="22.85546875" style="11" customWidth="1"/>
    <col min="2052" max="2052" width="2.5703125" style="11" customWidth="1"/>
    <col min="2053" max="2053" width="16.42578125" style="11" customWidth="1"/>
    <col min="2054" max="2301" width="11.42578125" style="11"/>
    <col min="2302" max="2302" width="34" style="11" customWidth="1"/>
    <col min="2303" max="2305" width="11.42578125" style="11"/>
    <col min="2306" max="2306" width="3.42578125" style="11" customWidth="1"/>
    <col min="2307" max="2307" width="22.85546875" style="11" customWidth="1"/>
    <col min="2308" max="2308" width="2.5703125" style="11" customWidth="1"/>
    <col min="2309" max="2309" width="16.42578125" style="11" customWidth="1"/>
    <col min="2310" max="2557" width="11.42578125" style="11"/>
    <col min="2558" max="2558" width="34" style="11" customWidth="1"/>
    <col min="2559" max="2561" width="11.42578125" style="11"/>
    <col min="2562" max="2562" width="3.42578125" style="11" customWidth="1"/>
    <col min="2563" max="2563" width="22.85546875" style="11" customWidth="1"/>
    <col min="2564" max="2564" width="2.5703125" style="11" customWidth="1"/>
    <col min="2565" max="2565" width="16.42578125" style="11" customWidth="1"/>
    <col min="2566" max="2813" width="11.42578125" style="11"/>
    <col min="2814" max="2814" width="34" style="11" customWidth="1"/>
    <col min="2815" max="2817" width="11.42578125" style="11"/>
    <col min="2818" max="2818" width="3.42578125" style="11" customWidth="1"/>
    <col min="2819" max="2819" width="22.85546875" style="11" customWidth="1"/>
    <col min="2820" max="2820" width="2.5703125" style="11" customWidth="1"/>
    <col min="2821" max="2821" width="16.42578125" style="11" customWidth="1"/>
    <col min="2822" max="3069" width="11.42578125" style="11"/>
    <col min="3070" max="3070" width="34" style="11" customWidth="1"/>
    <col min="3071" max="3073" width="11.42578125" style="11"/>
    <col min="3074" max="3074" width="3.42578125" style="11" customWidth="1"/>
    <col min="3075" max="3075" width="22.85546875" style="11" customWidth="1"/>
    <col min="3076" max="3076" width="2.5703125" style="11" customWidth="1"/>
    <col min="3077" max="3077" width="16.42578125" style="11" customWidth="1"/>
    <col min="3078" max="3325" width="11.42578125" style="11"/>
    <col min="3326" max="3326" width="34" style="11" customWidth="1"/>
    <col min="3327" max="3329" width="11.42578125" style="11"/>
    <col min="3330" max="3330" width="3.42578125" style="11" customWidth="1"/>
    <col min="3331" max="3331" width="22.85546875" style="11" customWidth="1"/>
    <col min="3332" max="3332" width="2.5703125" style="11" customWidth="1"/>
    <col min="3333" max="3333" width="16.42578125" style="11" customWidth="1"/>
    <col min="3334" max="3581" width="11.42578125" style="11"/>
    <col min="3582" max="3582" width="34" style="11" customWidth="1"/>
    <col min="3583" max="3585" width="11.42578125" style="11"/>
    <col min="3586" max="3586" width="3.42578125" style="11" customWidth="1"/>
    <col min="3587" max="3587" width="22.85546875" style="11" customWidth="1"/>
    <col min="3588" max="3588" width="2.5703125" style="11" customWidth="1"/>
    <col min="3589" max="3589" width="16.42578125" style="11" customWidth="1"/>
    <col min="3590" max="3837" width="11.42578125" style="11"/>
    <col min="3838" max="3838" width="34" style="11" customWidth="1"/>
    <col min="3839" max="3841" width="11.42578125" style="11"/>
    <col min="3842" max="3842" width="3.42578125" style="11" customWidth="1"/>
    <col min="3843" max="3843" width="22.85546875" style="11" customWidth="1"/>
    <col min="3844" max="3844" width="2.5703125" style="11" customWidth="1"/>
    <col min="3845" max="3845" width="16.42578125" style="11" customWidth="1"/>
    <col min="3846" max="4093" width="11.42578125" style="11"/>
    <col min="4094" max="4094" width="34" style="11" customWidth="1"/>
    <col min="4095" max="4097" width="11.42578125" style="11"/>
    <col min="4098" max="4098" width="3.42578125" style="11" customWidth="1"/>
    <col min="4099" max="4099" width="22.85546875" style="11" customWidth="1"/>
    <col min="4100" max="4100" width="2.5703125" style="11" customWidth="1"/>
    <col min="4101" max="4101" width="16.42578125" style="11" customWidth="1"/>
    <col min="4102" max="4349" width="11.42578125" style="11"/>
    <col min="4350" max="4350" width="34" style="11" customWidth="1"/>
    <col min="4351" max="4353" width="11.42578125" style="11"/>
    <col min="4354" max="4354" width="3.42578125" style="11" customWidth="1"/>
    <col min="4355" max="4355" width="22.85546875" style="11" customWidth="1"/>
    <col min="4356" max="4356" width="2.5703125" style="11" customWidth="1"/>
    <col min="4357" max="4357" width="16.42578125" style="11" customWidth="1"/>
    <col min="4358" max="4605" width="11.42578125" style="11"/>
    <col min="4606" max="4606" width="34" style="11" customWidth="1"/>
    <col min="4607" max="4609" width="11.42578125" style="11"/>
    <col min="4610" max="4610" width="3.42578125" style="11" customWidth="1"/>
    <col min="4611" max="4611" width="22.85546875" style="11" customWidth="1"/>
    <col min="4612" max="4612" width="2.5703125" style="11" customWidth="1"/>
    <col min="4613" max="4613" width="16.42578125" style="11" customWidth="1"/>
    <col min="4614" max="4861" width="11.42578125" style="11"/>
    <col min="4862" max="4862" width="34" style="11" customWidth="1"/>
    <col min="4863" max="4865" width="11.42578125" style="11"/>
    <col min="4866" max="4866" width="3.42578125" style="11" customWidth="1"/>
    <col min="4867" max="4867" width="22.85546875" style="11" customWidth="1"/>
    <col min="4868" max="4868" width="2.5703125" style="11" customWidth="1"/>
    <col min="4869" max="4869" width="16.42578125" style="11" customWidth="1"/>
    <col min="4870" max="5117" width="11.42578125" style="11"/>
    <col min="5118" max="5118" width="34" style="11" customWidth="1"/>
    <col min="5119" max="5121" width="11.42578125" style="11"/>
    <col min="5122" max="5122" width="3.42578125" style="11" customWidth="1"/>
    <col min="5123" max="5123" width="22.85546875" style="11" customWidth="1"/>
    <col min="5124" max="5124" width="2.5703125" style="11" customWidth="1"/>
    <col min="5125" max="5125" width="16.42578125" style="11" customWidth="1"/>
    <col min="5126" max="5373" width="11.42578125" style="11"/>
    <col min="5374" max="5374" width="34" style="11" customWidth="1"/>
    <col min="5375" max="5377" width="11.42578125" style="11"/>
    <col min="5378" max="5378" width="3.42578125" style="11" customWidth="1"/>
    <col min="5379" max="5379" width="22.85546875" style="11" customWidth="1"/>
    <col min="5380" max="5380" width="2.5703125" style="11" customWidth="1"/>
    <col min="5381" max="5381" width="16.42578125" style="11" customWidth="1"/>
    <col min="5382" max="5629" width="11.42578125" style="11"/>
    <col min="5630" max="5630" width="34" style="11" customWidth="1"/>
    <col min="5631" max="5633" width="11.42578125" style="11"/>
    <col min="5634" max="5634" width="3.42578125" style="11" customWidth="1"/>
    <col min="5635" max="5635" width="22.85546875" style="11" customWidth="1"/>
    <col min="5636" max="5636" width="2.5703125" style="11" customWidth="1"/>
    <col min="5637" max="5637" width="16.42578125" style="11" customWidth="1"/>
    <col min="5638" max="5885" width="11.42578125" style="11"/>
    <col min="5886" max="5886" width="34" style="11" customWidth="1"/>
    <col min="5887" max="5889" width="11.42578125" style="11"/>
    <col min="5890" max="5890" width="3.42578125" style="11" customWidth="1"/>
    <col min="5891" max="5891" width="22.85546875" style="11" customWidth="1"/>
    <col min="5892" max="5892" width="2.5703125" style="11" customWidth="1"/>
    <col min="5893" max="5893" width="16.42578125" style="11" customWidth="1"/>
    <col min="5894" max="6141" width="11.42578125" style="11"/>
    <col min="6142" max="6142" width="34" style="11" customWidth="1"/>
    <col min="6143" max="6145" width="11.42578125" style="11"/>
    <col min="6146" max="6146" width="3.42578125" style="11" customWidth="1"/>
    <col min="6147" max="6147" width="22.85546875" style="11" customWidth="1"/>
    <col min="6148" max="6148" width="2.5703125" style="11" customWidth="1"/>
    <col min="6149" max="6149" width="16.42578125" style="11" customWidth="1"/>
    <col min="6150" max="6397" width="11.42578125" style="11"/>
    <col min="6398" max="6398" width="34" style="11" customWidth="1"/>
    <col min="6399" max="6401" width="11.42578125" style="11"/>
    <col min="6402" max="6402" width="3.42578125" style="11" customWidth="1"/>
    <col min="6403" max="6403" width="22.85546875" style="11" customWidth="1"/>
    <col min="6404" max="6404" width="2.5703125" style="11" customWidth="1"/>
    <col min="6405" max="6405" width="16.42578125" style="11" customWidth="1"/>
    <col min="6406" max="6653" width="11.42578125" style="11"/>
    <col min="6654" max="6654" width="34" style="11" customWidth="1"/>
    <col min="6655" max="6657" width="11.42578125" style="11"/>
    <col min="6658" max="6658" width="3.42578125" style="11" customWidth="1"/>
    <col min="6659" max="6659" width="22.85546875" style="11" customWidth="1"/>
    <col min="6660" max="6660" width="2.5703125" style="11" customWidth="1"/>
    <col min="6661" max="6661" width="16.42578125" style="11" customWidth="1"/>
    <col min="6662" max="6909" width="11.42578125" style="11"/>
    <col min="6910" max="6910" width="34" style="11" customWidth="1"/>
    <col min="6911" max="6913" width="11.42578125" style="11"/>
    <col min="6914" max="6914" width="3.42578125" style="11" customWidth="1"/>
    <col min="6915" max="6915" width="22.85546875" style="11" customWidth="1"/>
    <col min="6916" max="6916" width="2.5703125" style="11" customWidth="1"/>
    <col min="6917" max="6917" width="16.42578125" style="11" customWidth="1"/>
    <col min="6918" max="7165" width="11.42578125" style="11"/>
    <col min="7166" max="7166" width="34" style="11" customWidth="1"/>
    <col min="7167" max="7169" width="11.42578125" style="11"/>
    <col min="7170" max="7170" width="3.42578125" style="11" customWidth="1"/>
    <col min="7171" max="7171" width="22.85546875" style="11" customWidth="1"/>
    <col min="7172" max="7172" width="2.5703125" style="11" customWidth="1"/>
    <col min="7173" max="7173" width="16.42578125" style="11" customWidth="1"/>
    <col min="7174" max="7421" width="11.42578125" style="11"/>
    <col min="7422" max="7422" width="34" style="11" customWidth="1"/>
    <col min="7423" max="7425" width="11.42578125" style="11"/>
    <col min="7426" max="7426" width="3.42578125" style="11" customWidth="1"/>
    <col min="7427" max="7427" width="22.85546875" style="11" customWidth="1"/>
    <col min="7428" max="7428" width="2.5703125" style="11" customWidth="1"/>
    <col min="7429" max="7429" width="16.42578125" style="11" customWidth="1"/>
    <col min="7430" max="7677" width="11.42578125" style="11"/>
    <col min="7678" max="7678" width="34" style="11" customWidth="1"/>
    <col min="7679" max="7681" width="11.42578125" style="11"/>
    <col min="7682" max="7682" width="3.42578125" style="11" customWidth="1"/>
    <col min="7683" max="7683" width="22.85546875" style="11" customWidth="1"/>
    <col min="7684" max="7684" width="2.5703125" style="11" customWidth="1"/>
    <col min="7685" max="7685" width="16.42578125" style="11" customWidth="1"/>
    <col min="7686" max="7933" width="11.42578125" style="11"/>
    <col min="7934" max="7934" width="34" style="11" customWidth="1"/>
    <col min="7935" max="7937" width="11.42578125" style="11"/>
    <col min="7938" max="7938" width="3.42578125" style="11" customWidth="1"/>
    <col min="7939" max="7939" width="22.85546875" style="11" customWidth="1"/>
    <col min="7940" max="7940" width="2.5703125" style="11" customWidth="1"/>
    <col min="7941" max="7941" width="16.42578125" style="11" customWidth="1"/>
    <col min="7942" max="8189" width="11.42578125" style="11"/>
    <col min="8190" max="8190" width="34" style="11" customWidth="1"/>
    <col min="8191" max="8193" width="11.42578125" style="11"/>
    <col min="8194" max="8194" width="3.42578125" style="11" customWidth="1"/>
    <col min="8195" max="8195" width="22.85546875" style="11" customWidth="1"/>
    <col min="8196" max="8196" width="2.5703125" style="11" customWidth="1"/>
    <col min="8197" max="8197" width="16.42578125" style="11" customWidth="1"/>
    <col min="8198" max="8445" width="11.42578125" style="11"/>
    <col min="8446" max="8446" width="34" style="11" customWidth="1"/>
    <col min="8447" max="8449" width="11.42578125" style="11"/>
    <col min="8450" max="8450" width="3.42578125" style="11" customWidth="1"/>
    <col min="8451" max="8451" width="22.85546875" style="11" customWidth="1"/>
    <col min="8452" max="8452" width="2.5703125" style="11" customWidth="1"/>
    <col min="8453" max="8453" width="16.42578125" style="11" customWidth="1"/>
    <col min="8454" max="8701" width="11.42578125" style="11"/>
    <col min="8702" max="8702" width="34" style="11" customWidth="1"/>
    <col min="8703" max="8705" width="11.42578125" style="11"/>
    <col min="8706" max="8706" width="3.42578125" style="11" customWidth="1"/>
    <col min="8707" max="8707" width="22.85546875" style="11" customWidth="1"/>
    <col min="8708" max="8708" width="2.5703125" style="11" customWidth="1"/>
    <col min="8709" max="8709" width="16.42578125" style="11" customWidth="1"/>
    <col min="8710" max="8957" width="11.42578125" style="11"/>
    <col min="8958" max="8958" width="34" style="11" customWidth="1"/>
    <col min="8959" max="8961" width="11.42578125" style="11"/>
    <col min="8962" max="8962" width="3.42578125" style="11" customWidth="1"/>
    <col min="8963" max="8963" width="22.85546875" style="11" customWidth="1"/>
    <col min="8964" max="8964" width="2.5703125" style="11" customWidth="1"/>
    <col min="8965" max="8965" width="16.42578125" style="11" customWidth="1"/>
    <col min="8966" max="9213" width="11.42578125" style="11"/>
    <col min="9214" max="9214" width="34" style="11" customWidth="1"/>
    <col min="9215" max="9217" width="11.42578125" style="11"/>
    <col min="9218" max="9218" width="3.42578125" style="11" customWidth="1"/>
    <col min="9219" max="9219" width="22.85546875" style="11" customWidth="1"/>
    <col min="9220" max="9220" width="2.5703125" style="11" customWidth="1"/>
    <col min="9221" max="9221" width="16.42578125" style="11" customWidth="1"/>
    <col min="9222" max="9469" width="11.42578125" style="11"/>
    <col min="9470" max="9470" width="34" style="11" customWidth="1"/>
    <col min="9471" max="9473" width="11.42578125" style="11"/>
    <col min="9474" max="9474" width="3.42578125" style="11" customWidth="1"/>
    <col min="9475" max="9475" width="22.85546875" style="11" customWidth="1"/>
    <col min="9476" max="9476" width="2.5703125" style="11" customWidth="1"/>
    <col min="9477" max="9477" width="16.42578125" style="11" customWidth="1"/>
    <col min="9478" max="9725" width="11.42578125" style="11"/>
    <col min="9726" max="9726" width="34" style="11" customWidth="1"/>
    <col min="9727" max="9729" width="11.42578125" style="11"/>
    <col min="9730" max="9730" width="3.42578125" style="11" customWidth="1"/>
    <col min="9731" max="9731" width="22.85546875" style="11" customWidth="1"/>
    <col min="9732" max="9732" width="2.5703125" style="11" customWidth="1"/>
    <col min="9733" max="9733" width="16.42578125" style="11" customWidth="1"/>
    <col min="9734" max="9981" width="11.42578125" style="11"/>
    <col min="9982" max="9982" width="34" style="11" customWidth="1"/>
    <col min="9983" max="9985" width="11.42578125" style="11"/>
    <col min="9986" max="9986" width="3.42578125" style="11" customWidth="1"/>
    <col min="9987" max="9987" width="22.85546875" style="11" customWidth="1"/>
    <col min="9988" max="9988" width="2.5703125" style="11" customWidth="1"/>
    <col min="9989" max="9989" width="16.42578125" style="11" customWidth="1"/>
    <col min="9990" max="10237" width="11.42578125" style="11"/>
    <col min="10238" max="10238" width="34" style="11" customWidth="1"/>
    <col min="10239" max="10241" width="11.42578125" style="11"/>
    <col min="10242" max="10242" width="3.42578125" style="11" customWidth="1"/>
    <col min="10243" max="10243" width="22.85546875" style="11" customWidth="1"/>
    <col min="10244" max="10244" width="2.5703125" style="11" customWidth="1"/>
    <col min="10245" max="10245" width="16.42578125" style="11" customWidth="1"/>
    <col min="10246" max="10493" width="11.42578125" style="11"/>
    <col min="10494" max="10494" width="34" style="11" customWidth="1"/>
    <col min="10495" max="10497" width="11.42578125" style="11"/>
    <col min="10498" max="10498" width="3.42578125" style="11" customWidth="1"/>
    <col min="10499" max="10499" width="22.85546875" style="11" customWidth="1"/>
    <col min="10500" max="10500" width="2.5703125" style="11" customWidth="1"/>
    <col min="10501" max="10501" width="16.42578125" style="11" customWidth="1"/>
    <col min="10502" max="10749" width="11.42578125" style="11"/>
    <col min="10750" max="10750" width="34" style="11" customWidth="1"/>
    <col min="10751" max="10753" width="11.42578125" style="11"/>
    <col min="10754" max="10754" width="3.42578125" style="11" customWidth="1"/>
    <col min="10755" max="10755" width="22.85546875" style="11" customWidth="1"/>
    <col min="10756" max="10756" width="2.5703125" style="11" customWidth="1"/>
    <col min="10757" max="10757" width="16.42578125" style="11" customWidth="1"/>
    <col min="10758" max="11005" width="11.42578125" style="11"/>
    <col min="11006" max="11006" width="34" style="11" customWidth="1"/>
    <col min="11007" max="11009" width="11.42578125" style="11"/>
    <col min="11010" max="11010" width="3.42578125" style="11" customWidth="1"/>
    <col min="11011" max="11011" width="22.85546875" style="11" customWidth="1"/>
    <col min="11012" max="11012" width="2.5703125" style="11" customWidth="1"/>
    <col min="11013" max="11013" width="16.42578125" style="11" customWidth="1"/>
    <col min="11014" max="11261" width="11.42578125" style="11"/>
    <col min="11262" max="11262" width="34" style="11" customWidth="1"/>
    <col min="11263" max="11265" width="11.42578125" style="11"/>
    <col min="11266" max="11266" width="3.42578125" style="11" customWidth="1"/>
    <col min="11267" max="11267" width="22.85546875" style="11" customWidth="1"/>
    <col min="11268" max="11268" width="2.5703125" style="11" customWidth="1"/>
    <col min="11269" max="11269" width="16.42578125" style="11" customWidth="1"/>
    <col min="11270" max="11517" width="11.42578125" style="11"/>
    <col min="11518" max="11518" width="34" style="11" customWidth="1"/>
    <col min="11519" max="11521" width="11.42578125" style="11"/>
    <col min="11522" max="11522" width="3.42578125" style="11" customWidth="1"/>
    <col min="11523" max="11523" width="22.85546875" style="11" customWidth="1"/>
    <col min="11524" max="11524" width="2.5703125" style="11" customWidth="1"/>
    <col min="11525" max="11525" width="16.42578125" style="11" customWidth="1"/>
    <col min="11526" max="11773" width="11.42578125" style="11"/>
    <col min="11774" max="11774" width="34" style="11" customWidth="1"/>
    <col min="11775" max="11777" width="11.42578125" style="11"/>
    <col min="11778" max="11778" width="3.42578125" style="11" customWidth="1"/>
    <col min="11779" max="11779" width="22.85546875" style="11" customWidth="1"/>
    <col min="11780" max="11780" width="2.5703125" style="11" customWidth="1"/>
    <col min="11781" max="11781" width="16.42578125" style="11" customWidth="1"/>
    <col min="11782" max="12029" width="11.42578125" style="11"/>
    <col min="12030" max="12030" width="34" style="11" customWidth="1"/>
    <col min="12031" max="12033" width="11.42578125" style="11"/>
    <col min="12034" max="12034" width="3.42578125" style="11" customWidth="1"/>
    <col min="12035" max="12035" width="22.85546875" style="11" customWidth="1"/>
    <col min="12036" max="12036" width="2.5703125" style="11" customWidth="1"/>
    <col min="12037" max="12037" width="16.42578125" style="11" customWidth="1"/>
    <col min="12038" max="12285" width="11.42578125" style="11"/>
    <col min="12286" max="12286" width="34" style="11" customWidth="1"/>
    <col min="12287" max="12289" width="11.42578125" style="11"/>
    <col min="12290" max="12290" width="3.42578125" style="11" customWidth="1"/>
    <col min="12291" max="12291" width="22.85546875" style="11" customWidth="1"/>
    <col min="12292" max="12292" width="2.5703125" style="11" customWidth="1"/>
    <col min="12293" max="12293" width="16.42578125" style="11" customWidth="1"/>
    <col min="12294" max="12541" width="11.42578125" style="11"/>
    <col min="12542" max="12542" width="34" style="11" customWidth="1"/>
    <col min="12543" max="12545" width="11.42578125" style="11"/>
    <col min="12546" max="12546" width="3.42578125" style="11" customWidth="1"/>
    <col min="12547" max="12547" width="22.85546875" style="11" customWidth="1"/>
    <col min="12548" max="12548" width="2.5703125" style="11" customWidth="1"/>
    <col min="12549" max="12549" width="16.42578125" style="11" customWidth="1"/>
    <col min="12550" max="12797" width="11.42578125" style="11"/>
    <col min="12798" max="12798" width="34" style="11" customWidth="1"/>
    <col min="12799" max="12801" width="11.42578125" style="11"/>
    <col min="12802" max="12802" width="3.42578125" style="11" customWidth="1"/>
    <col min="12803" max="12803" width="22.85546875" style="11" customWidth="1"/>
    <col min="12804" max="12804" width="2.5703125" style="11" customWidth="1"/>
    <col min="12805" max="12805" width="16.42578125" style="11" customWidth="1"/>
    <col min="12806" max="13053" width="11.42578125" style="11"/>
    <col min="13054" max="13054" width="34" style="11" customWidth="1"/>
    <col min="13055" max="13057" width="11.42578125" style="11"/>
    <col min="13058" max="13058" width="3.42578125" style="11" customWidth="1"/>
    <col min="13059" max="13059" width="22.85546875" style="11" customWidth="1"/>
    <col min="13060" max="13060" width="2.5703125" style="11" customWidth="1"/>
    <col min="13061" max="13061" width="16.42578125" style="11" customWidth="1"/>
    <col min="13062" max="13309" width="11.42578125" style="11"/>
    <col min="13310" max="13310" width="34" style="11" customWidth="1"/>
    <col min="13311" max="13313" width="11.42578125" style="11"/>
    <col min="13314" max="13314" width="3.42578125" style="11" customWidth="1"/>
    <col min="13315" max="13315" width="22.85546875" style="11" customWidth="1"/>
    <col min="13316" max="13316" width="2.5703125" style="11" customWidth="1"/>
    <col min="13317" max="13317" width="16.42578125" style="11" customWidth="1"/>
    <col min="13318" max="13565" width="11.42578125" style="11"/>
    <col min="13566" max="13566" width="34" style="11" customWidth="1"/>
    <col min="13567" max="13569" width="11.42578125" style="11"/>
    <col min="13570" max="13570" width="3.42578125" style="11" customWidth="1"/>
    <col min="13571" max="13571" width="22.85546875" style="11" customWidth="1"/>
    <col min="13572" max="13572" width="2.5703125" style="11" customWidth="1"/>
    <col min="13573" max="13573" width="16.42578125" style="11" customWidth="1"/>
    <col min="13574" max="13821" width="11.42578125" style="11"/>
    <col min="13822" max="13822" width="34" style="11" customWidth="1"/>
    <col min="13823" max="13825" width="11.42578125" style="11"/>
    <col min="13826" max="13826" width="3.42578125" style="11" customWidth="1"/>
    <col min="13827" max="13827" width="22.85546875" style="11" customWidth="1"/>
    <col min="13828" max="13828" width="2.5703125" style="11" customWidth="1"/>
    <col min="13829" max="13829" width="16.42578125" style="11" customWidth="1"/>
    <col min="13830" max="14077" width="11.42578125" style="11"/>
    <col min="14078" max="14078" width="34" style="11" customWidth="1"/>
    <col min="14079" max="14081" width="11.42578125" style="11"/>
    <col min="14082" max="14082" width="3.42578125" style="11" customWidth="1"/>
    <col min="14083" max="14083" width="22.85546875" style="11" customWidth="1"/>
    <col min="14084" max="14084" width="2.5703125" style="11" customWidth="1"/>
    <col min="14085" max="14085" width="16.42578125" style="11" customWidth="1"/>
    <col min="14086" max="14333" width="11.42578125" style="11"/>
    <col min="14334" max="14334" width="34" style="11" customWidth="1"/>
    <col min="14335" max="14337" width="11.42578125" style="11"/>
    <col min="14338" max="14338" width="3.42578125" style="11" customWidth="1"/>
    <col min="14339" max="14339" width="22.85546875" style="11" customWidth="1"/>
    <col min="14340" max="14340" width="2.5703125" style="11" customWidth="1"/>
    <col min="14341" max="14341" width="16.42578125" style="11" customWidth="1"/>
    <col min="14342" max="14589" width="11.42578125" style="11"/>
    <col min="14590" max="14590" width="34" style="11" customWidth="1"/>
    <col min="14591" max="14593" width="11.42578125" style="11"/>
    <col min="14594" max="14594" width="3.42578125" style="11" customWidth="1"/>
    <col min="14595" max="14595" width="22.85546875" style="11" customWidth="1"/>
    <col min="14596" max="14596" width="2.5703125" style="11" customWidth="1"/>
    <col min="14597" max="14597" width="16.42578125" style="11" customWidth="1"/>
    <col min="14598" max="14845" width="11.42578125" style="11"/>
    <col min="14846" max="14846" width="34" style="11" customWidth="1"/>
    <col min="14847" max="14849" width="11.42578125" style="11"/>
    <col min="14850" max="14850" width="3.42578125" style="11" customWidth="1"/>
    <col min="14851" max="14851" width="22.85546875" style="11" customWidth="1"/>
    <col min="14852" max="14852" width="2.5703125" style="11" customWidth="1"/>
    <col min="14853" max="14853" width="16.42578125" style="11" customWidth="1"/>
    <col min="14854" max="15101" width="11.42578125" style="11"/>
    <col min="15102" max="15102" width="34" style="11" customWidth="1"/>
    <col min="15103" max="15105" width="11.42578125" style="11"/>
    <col min="15106" max="15106" width="3.42578125" style="11" customWidth="1"/>
    <col min="15107" max="15107" width="22.85546875" style="11" customWidth="1"/>
    <col min="15108" max="15108" width="2.5703125" style="11" customWidth="1"/>
    <col min="15109" max="15109" width="16.42578125" style="11" customWidth="1"/>
    <col min="15110" max="15357" width="11.42578125" style="11"/>
    <col min="15358" max="15358" width="34" style="11" customWidth="1"/>
    <col min="15359" max="15361" width="11.42578125" style="11"/>
    <col min="15362" max="15362" width="3.42578125" style="11" customWidth="1"/>
    <col min="15363" max="15363" width="22.85546875" style="11" customWidth="1"/>
    <col min="15364" max="15364" width="2.5703125" style="11" customWidth="1"/>
    <col min="15365" max="15365" width="16.42578125" style="11" customWidth="1"/>
    <col min="15366" max="15613" width="11.42578125" style="11"/>
    <col min="15614" max="15614" width="34" style="11" customWidth="1"/>
    <col min="15615" max="15617" width="11.42578125" style="11"/>
    <col min="15618" max="15618" width="3.42578125" style="11" customWidth="1"/>
    <col min="15619" max="15619" width="22.85546875" style="11" customWidth="1"/>
    <col min="15620" max="15620" width="2.5703125" style="11" customWidth="1"/>
    <col min="15621" max="15621" width="16.42578125" style="11" customWidth="1"/>
    <col min="15622" max="15869" width="11.42578125" style="11"/>
    <col min="15870" max="15870" width="34" style="11" customWidth="1"/>
    <col min="15871" max="15873" width="11.42578125" style="11"/>
    <col min="15874" max="15874" width="3.42578125" style="11" customWidth="1"/>
    <col min="15875" max="15875" width="22.85546875" style="11" customWidth="1"/>
    <col min="15876" max="15876" width="2.5703125" style="11" customWidth="1"/>
    <col min="15877" max="15877" width="16.42578125" style="11" customWidth="1"/>
    <col min="15878" max="16125" width="11.42578125" style="11"/>
    <col min="16126" max="16126" width="34" style="11" customWidth="1"/>
    <col min="16127" max="16129" width="11.42578125" style="11"/>
    <col min="16130" max="16130" width="3.42578125" style="11" customWidth="1"/>
    <col min="16131" max="16131" width="22.85546875" style="11" customWidth="1"/>
    <col min="16132" max="16132" width="2.5703125" style="11" customWidth="1"/>
    <col min="16133" max="16133" width="16.42578125" style="11" customWidth="1"/>
    <col min="16134" max="16384" width="11.42578125" style="11"/>
  </cols>
  <sheetData>
    <row r="1" spans="1:8" ht="23.25">
      <c r="A1" s="161" t="s">
        <v>256</v>
      </c>
    </row>
    <row r="2" spans="1:8" ht="23.25">
      <c r="A2" s="161" t="s">
        <v>284</v>
      </c>
    </row>
    <row r="3" spans="1:8" ht="23.25">
      <c r="A3" s="161"/>
    </row>
    <row r="4" spans="1:8" ht="15.75" thickBot="1">
      <c r="B4" s="193" t="s">
        <v>283</v>
      </c>
      <c r="C4" s="193"/>
      <c r="D4" s="193" t="s">
        <v>265</v>
      </c>
      <c r="E4" s="193"/>
    </row>
    <row r="5" spans="1:8">
      <c r="A5" s="195" t="s">
        <v>277</v>
      </c>
      <c r="B5" s="196"/>
      <c r="C5" s="196"/>
      <c r="D5" s="196"/>
      <c r="E5" s="197"/>
      <c r="F5" s="162"/>
      <c r="G5" s="162"/>
      <c r="H5" s="162"/>
    </row>
    <row r="6" spans="1:8">
      <c r="A6" s="164">
        <v>0</v>
      </c>
      <c r="E6" s="12"/>
    </row>
    <row r="7" spans="1:8">
      <c r="A7" s="10" t="s">
        <v>154</v>
      </c>
      <c r="B7" s="107">
        <v>30000</v>
      </c>
      <c r="E7" s="12"/>
    </row>
    <row r="8" spans="1:8">
      <c r="A8" s="171" t="s">
        <v>155</v>
      </c>
      <c r="B8" s="107">
        <v>0</v>
      </c>
      <c r="E8" s="12"/>
    </row>
    <row r="9" spans="1:8">
      <c r="A9" s="172" t="s">
        <v>156</v>
      </c>
      <c r="B9" s="32"/>
      <c r="C9" s="95">
        <f>B7+B8</f>
        <v>30000</v>
      </c>
      <c r="E9" s="12"/>
    </row>
    <row r="10" spans="1:8">
      <c r="A10" s="171"/>
      <c r="C10" s="32"/>
      <c r="E10" s="12"/>
    </row>
    <row r="11" spans="1:8">
      <c r="A11" s="131" t="s">
        <v>157</v>
      </c>
      <c r="E11" s="12"/>
    </row>
    <row r="12" spans="1:8">
      <c r="A12" s="10" t="s">
        <v>158</v>
      </c>
      <c r="B12" s="107">
        <v>1000</v>
      </c>
      <c r="E12" s="12"/>
    </row>
    <row r="13" spans="1:8">
      <c r="A13" s="10" t="s">
        <v>159</v>
      </c>
      <c r="B13" s="107">
        <v>1000</v>
      </c>
      <c r="E13" s="12"/>
    </row>
    <row r="14" spans="1:8">
      <c r="A14" s="10" t="s">
        <v>160</v>
      </c>
      <c r="B14" s="107">
        <f>1000</f>
        <v>1000</v>
      </c>
      <c r="E14" s="12"/>
    </row>
    <row r="15" spans="1:8">
      <c r="A15" s="10" t="s">
        <v>161</v>
      </c>
      <c r="B15" s="107">
        <v>350</v>
      </c>
      <c r="E15" s="12"/>
    </row>
    <row r="16" spans="1:8">
      <c r="A16" s="10" t="s">
        <v>162</v>
      </c>
      <c r="B16" s="107">
        <v>0</v>
      </c>
      <c r="E16" s="12"/>
    </row>
    <row r="17" spans="1:5">
      <c r="A17" s="131" t="s">
        <v>163</v>
      </c>
      <c r="B17" s="98">
        <f>SUM(B12:B16)</f>
        <v>3350</v>
      </c>
      <c r="E17" s="12"/>
    </row>
    <row r="18" spans="1:5">
      <c r="A18" s="10"/>
      <c r="C18" s="32"/>
      <c r="E18" s="12"/>
    </row>
    <row r="19" spans="1:5">
      <c r="A19" s="131" t="s">
        <v>164</v>
      </c>
      <c r="C19" s="99">
        <f>C9-B17</f>
        <v>26650</v>
      </c>
      <c r="E19" s="12"/>
    </row>
    <row r="20" spans="1:5">
      <c r="A20" s="10"/>
      <c r="E20" s="12"/>
    </row>
    <row r="21" spans="1:5">
      <c r="A21" s="131" t="s">
        <v>165</v>
      </c>
      <c r="C21" s="108">
        <v>0.5</v>
      </c>
      <c r="E21" s="12"/>
    </row>
    <row r="22" spans="1:5">
      <c r="A22" s="10"/>
      <c r="E22" s="12"/>
    </row>
    <row r="23" spans="1:5" ht="15.75" thickBot="1">
      <c r="A23" s="13" t="s">
        <v>166</v>
      </c>
      <c r="B23" s="6"/>
      <c r="C23" s="173">
        <v>0</v>
      </c>
      <c r="D23" s="165">
        <f>C19/C21+C23</f>
        <v>53300</v>
      </c>
      <c r="E23" s="166">
        <f>A6*D23/B75</f>
        <v>0</v>
      </c>
    </row>
    <row r="24" spans="1:5">
      <c r="C24" s="170"/>
      <c r="D24" s="96"/>
      <c r="E24" s="96"/>
    </row>
    <row r="25" spans="1:5">
      <c r="C25" s="170"/>
      <c r="D25" s="96"/>
      <c r="E25" s="96"/>
    </row>
    <row r="26" spans="1:5">
      <c r="C26" s="170"/>
      <c r="D26" s="96"/>
      <c r="E26" s="96"/>
    </row>
    <row r="27" spans="1:5">
      <c r="C27" s="170"/>
      <c r="D27" s="96"/>
      <c r="E27" s="96"/>
    </row>
    <row r="29" spans="1:5" ht="15.75" thickBot="1"/>
    <row r="30" spans="1:5">
      <c r="A30" s="195" t="s">
        <v>278</v>
      </c>
      <c r="B30" s="196"/>
      <c r="C30" s="196"/>
      <c r="D30" s="196"/>
      <c r="E30" s="197"/>
    </row>
    <row r="31" spans="1:5">
      <c r="A31" s="164">
        <v>0</v>
      </c>
      <c r="E31" s="12"/>
    </row>
    <row r="32" spans="1:5">
      <c r="A32" s="10" t="s">
        <v>167</v>
      </c>
      <c r="B32" s="107">
        <v>0</v>
      </c>
      <c r="C32" s="32"/>
      <c r="E32" s="12"/>
    </row>
    <row r="33" spans="1:5">
      <c r="A33" s="10" t="s">
        <v>168</v>
      </c>
      <c r="B33" s="107">
        <v>0</v>
      </c>
      <c r="C33" s="32"/>
      <c r="E33" s="12"/>
    </row>
    <row r="34" spans="1:5">
      <c r="A34" s="10" t="s">
        <v>169</v>
      </c>
      <c r="B34" s="107">
        <v>0</v>
      </c>
      <c r="C34" s="32"/>
      <c r="E34" s="12"/>
    </row>
    <row r="35" spans="1:5">
      <c r="A35" s="10" t="s">
        <v>170</v>
      </c>
      <c r="B35" s="107">
        <v>0</v>
      </c>
      <c r="C35" s="32"/>
      <c r="E35" s="12"/>
    </row>
    <row r="36" spans="1:5">
      <c r="A36" s="10" t="s">
        <v>282</v>
      </c>
      <c r="B36" s="107">
        <v>0</v>
      </c>
      <c r="C36" s="32"/>
      <c r="E36" s="12"/>
    </row>
    <row r="37" spans="1:5">
      <c r="A37" s="131" t="s">
        <v>281</v>
      </c>
      <c r="B37" s="32"/>
      <c r="C37" s="95">
        <f>SUM(B32:B36)</f>
        <v>0</v>
      </c>
      <c r="E37" s="12"/>
    </row>
    <row r="38" spans="1:5">
      <c r="A38" s="10"/>
      <c r="B38" s="32"/>
      <c r="C38" s="32"/>
      <c r="E38" s="12"/>
    </row>
    <row r="39" spans="1:5">
      <c r="A39" s="10" t="s">
        <v>171</v>
      </c>
      <c r="B39" s="107">
        <v>0</v>
      </c>
      <c r="C39" s="32"/>
      <c r="E39" s="12"/>
    </row>
    <row r="40" spans="1:5">
      <c r="A40" s="10" t="s">
        <v>172</v>
      </c>
      <c r="B40" s="107">
        <v>0</v>
      </c>
      <c r="C40" s="32"/>
      <c r="E40" s="12"/>
    </row>
    <row r="41" spans="1:5">
      <c r="A41" s="10" t="s">
        <v>173</v>
      </c>
      <c r="B41" s="107">
        <v>0</v>
      </c>
      <c r="C41" s="32"/>
      <c r="E41" s="12"/>
    </row>
    <row r="42" spans="1:5">
      <c r="A42" s="10" t="s">
        <v>174</v>
      </c>
      <c r="B42" s="107">
        <v>0</v>
      </c>
      <c r="C42" s="32"/>
      <c r="E42" s="12"/>
    </row>
    <row r="43" spans="1:5" ht="15.75" thickBot="1">
      <c r="A43" s="123" t="s">
        <v>175</v>
      </c>
      <c r="B43" s="168"/>
      <c r="C43" s="169">
        <f>SUM(B39:B42)</f>
        <v>0</v>
      </c>
      <c r="D43" s="165">
        <f>C37-C43</f>
        <v>0</v>
      </c>
      <c r="E43" s="166">
        <f>A31*D43/B75</f>
        <v>0</v>
      </c>
    </row>
    <row r="50" spans="1:5" ht="15.75" thickBot="1"/>
    <row r="51" spans="1:5">
      <c r="A51" s="195" t="s">
        <v>279</v>
      </c>
      <c r="B51" s="196"/>
      <c r="C51" s="196"/>
      <c r="D51" s="196"/>
      <c r="E51" s="197"/>
    </row>
    <row r="52" spans="1:5">
      <c r="A52" s="164">
        <v>0</v>
      </c>
      <c r="E52" s="12"/>
    </row>
    <row r="53" spans="1:5">
      <c r="A53" s="10" t="s">
        <v>176</v>
      </c>
      <c r="B53" s="107">
        <v>10000</v>
      </c>
      <c r="C53" s="32"/>
      <c r="E53" s="12"/>
    </row>
    <row r="54" spans="1:5">
      <c r="A54" s="10" t="s">
        <v>177</v>
      </c>
      <c r="B54" s="107">
        <v>500</v>
      </c>
      <c r="C54" s="32"/>
      <c r="E54" s="12"/>
    </row>
    <row r="55" spans="1:5">
      <c r="A55" s="10" t="s">
        <v>178</v>
      </c>
      <c r="B55" s="107">
        <v>10000</v>
      </c>
      <c r="C55" s="32"/>
      <c r="E55" s="12"/>
    </row>
    <row r="56" spans="1:5">
      <c r="A56" s="10" t="s">
        <v>179</v>
      </c>
      <c r="B56" s="107">
        <v>2000</v>
      </c>
      <c r="C56" s="32"/>
      <c r="E56" s="12"/>
    </row>
    <row r="57" spans="1:5">
      <c r="A57" s="10" t="s">
        <v>180</v>
      </c>
      <c r="B57" s="107"/>
      <c r="C57" s="32"/>
      <c r="E57" s="12"/>
    </row>
    <row r="58" spans="1:5">
      <c r="A58" s="10" t="s">
        <v>181</v>
      </c>
      <c r="B58" s="107">
        <v>0</v>
      </c>
      <c r="C58" s="32"/>
      <c r="E58" s="12"/>
    </row>
    <row r="59" spans="1:5">
      <c r="A59" s="10" t="s">
        <v>182</v>
      </c>
      <c r="B59" s="107"/>
      <c r="C59" s="32"/>
      <c r="E59" s="12"/>
    </row>
    <row r="60" spans="1:5">
      <c r="A60" s="10" t="s">
        <v>183</v>
      </c>
      <c r="B60" s="107">
        <v>500</v>
      </c>
      <c r="C60" s="32"/>
      <c r="E60" s="12"/>
    </row>
    <row r="61" spans="1:5">
      <c r="A61" s="10" t="s">
        <v>162</v>
      </c>
      <c r="B61" s="107">
        <v>500</v>
      </c>
      <c r="C61" s="32"/>
      <c r="E61" s="12"/>
    </row>
    <row r="62" spans="1:5">
      <c r="A62" s="131" t="s">
        <v>184</v>
      </c>
      <c r="B62" s="32"/>
      <c r="C62" s="95">
        <f>SUM(B53:B61)</f>
        <v>23500</v>
      </c>
      <c r="E62" s="12"/>
    </row>
    <row r="63" spans="1:5">
      <c r="A63" s="10"/>
      <c r="E63" s="12"/>
    </row>
    <row r="64" spans="1:5" ht="15.75" thickBot="1">
      <c r="A64" s="13" t="s">
        <v>185</v>
      </c>
      <c r="B64" s="6"/>
      <c r="C64" s="167">
        <v>0</v>
      </c>
      <c r="D64" s="165">
        <f>C62-C64</f>
        <v>23500</v>
      </c>
      <c r="E64" s="166">
        <f>A52*D64/B75</f>
        <v>0</v>
      </c>
    </row>
    <row r="66" spans="1:5" ht="15.75" thickBot="1"/>
    <row r="67" spans="1:5">
      <c r="A67" s="195" t="s">
        <v>280</v>
      </c>
      <c r="B67" s="196"/>
      <c r="C67" s="196"/>
      <c r="D67" s="196"/>
      <c r="E67" s="197"/>
    </row>
    <row r="68" spans="1:5">
      <c r="A68" s="164">
        <v>1</v>
      </c>
      <c r="E68" s="12"/>
    </row>
    <row r="69" spans="1:5">
      <c r="A69" s="10" t="s">
        <v>186</v>
      </c>
      <c r="B69" s="32">
        <f>D64</f>
        <v>23500</v>
      </c>
      <c r="E69" s="12"/>
    </row>
    <row r="70" spans="1:5">
      <c r="A70" s="10" t="s">
        <v>187</v>
      </c>
      <c r="B70" s="107">
        <f>B7</f>
        <v>30000</v>
      </c>
      <c r="E70" s="12"/>
    </row>
    <row r="71" spans="1:5">
      <c r="A71" s="10"/>
      <c r="E71" s="12"/>
    </row>
    <row r="72" spans="1:5">
      <c r="A72" s="10" t="s">
        <v>188</v>
      </c>
      <c r="B72" s="97">
        <f ca="1">'I. techn. Bewertung'!F64</f>
        <v>1.9603489763016144</v>
      </c>
      <c r="E72" s="12"/>
    </row>
    <row r="73" spans="1:5" ht="15.75" thickBot="1">
      <c r="A73" s="13" t="s">
        <v>236</v>
      </c>
      <c r="B73" s="6"/>
      <c r="C73" s="6"/>
      <c r="D73" s="165">
        <f ca="1">B69+(B70*B72)</f>
        <v>82310.469289048429</v>
      </c>
      <c r="E73" s="166">
        <f ca="1">A68*D73/B75</f>
        <v>82310.469289048429</v>
      </c>
    </row>
    <row r="75" spans="1:5">
      <c r="A75" s="11" t="s">
        <v>255</v>
      </c>
      <c r="B75" s="11">
        <f>A6+A31+A52+A68</f>
        <v>1</v>
      </c>
    </row>
    <row r="77" spans="1:5" ht="18.75" customHeight="1">
      <c r="A77" s="198" t="s">
        <v>254</v>
      </c>
      <c r="B77" s="198"/>
      <c r="C77" s="198"/>
      <c r="D77" s="194">
        <f ca="1">SUM(E4:E73)</f>
        <v>82310.469289048429</v>
      </c>
      <c r="E77" s="194"/>
    </row>
    <row r="81" spans="1:6">
      <c r="A81" s="178" t="s">
        <v>260</v>
      </c>
      <c r="B81" s="175"/>
      <c r="C81" s="180"/>
      <c r="D81" s="180"/>
      <c r="E81" s="180"/>
    </row>
    <row r="82" spans="1:6">
      <c r="A82" t="s">
        <v>264</v>
      </c>
      <c r="E82" s="177" t="s">
        <v>261</v>
      </c>
    </row>
    <row r="83" spans="1:6">
      <c r="A83" t="s">
        <v>262</v>
      </c>
      <c r="E83" s="177" t="s">
        <v>261</v>
      </c>
    </row>
    <row r="84" spans="1:6">
      <c r="A84" t="s">
        <v>263</v>
      </c>
      <c r="E84" s="177" t="s">
        <v>261</v>
      </c>
    </row>
    <row r="85" spans="1:6">
      <c r="A85"/>
      <c r="B85"/>
      <c r="F85" s="163"/>
    </row>
    <row r="86" spans="1:6">
      <c r="A86" s="184"/>
      <c r="B86" s="176"/>
      <c r="C86" s="63"/>
      <c r="D86" s="63"/>
      <c r="E86" s="63"/>
    </row>
    <row r="87" spans="1:6">
      <c r="A87" s="15"/>
      <c r="B87" s="63"/>
      <c r="C87" s="63"/>
      <c r="D87" s="63"/>
      <c r="E87" s="185"/>
    </row>
  </sheetData>
  <sheetProtection selectLockedCells="1"/>
  <mergeCells count="8">
    <mergeCell ref="D77:E77"/>
    <mergeCell ref="A5:E5"/>
    <mergeCell ref="D4:E4"/>
    <mergeCell ref="A30:E30"/>
    <mergeCell ref="A51:E51"/>
    <mergeCell ref="A67:E67"/>
    <mergeCell ref="A77:C77"/>
    <mergeCell ref="B4:C4"/>
  </mergeCells>
  <hyperlinks>
    <hyperlink ref="E82" r:id="rId1"/>
    <hyperlink ref="E83" r:id="rId2"/>
    <hyperlink ref="E84" r:id="rId3"/>
  </hyperlinks>
  <pageMargins left="0.7" right="0.38" top="0.46" bottom="0.78740157499999996" header="0.3" footer="0.3"/>
  <pageSetup paperSize="9" orientation="portrait" r:id="rId4"/>
  <headerFooter>
    <oddFooter>&amp;Cerstellt von: Torsten Montag, Gründerlexikon
http://www.gruenderlexikon.de</oddFooter>
  </headerFooter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4"/>
  <sheetViews>
    <sheetView tabSelected="1" zoomScale="115" zoomScaleNormal="115" workbookViewId="0">
      <selection activeCell="B13" sqref="B13"/>
    </sheetView>
  </sheetViews>
  <sheetFormatPr baseColWidth="10" defaultRowHeight="15"/>
  <cols>
    <col min="1" max="1" width="81.42578125" customWidth="1"/>
    <col min="2" max="2" width="41" customWidth="1"/>
    <col min="3" max="3" width="15.42578125" customWidth="1"/>
    <col min="4" max="4" width="26.7109375" style="26" customWidth="1"/>
    <col min="5" max="5" width="11.42578125" style="15"/>
  </cols>
  <sheetData>
    <row r="1" spans="1:5" ht="23.25">
      <c r="A1" s="25" t="s">
        <v>240</v>
      </c>
      <c r="B1" t="s">
        <v>153</v>
      </c>
    </row>
    <row r="2" spans="1:5">
      <c r="A2" s="1" t="s">
        <v>288</v>
      </c>
      <c r="B2" t="s">
        <v>2</v>
      </c>
    </row>
    <row r="3" spans="1:5">
      <c r="A3" s="1"/>
    </row>
    <row r="4" spans="1:5">
      <c r="A4" s="4" t="s">
        <v>3</v>
      </c>
      <c r="D4" s="27"/>
    </row>
    <row r="5" spans="1:5" ht="15.75" thickBot="1">
      <c r="B5" s="115" t="s">
        <v>16</v>
      </c>
      <c r="C5" s="115" t="s">
        <v>15</v>
      </c>
      <c r="D5" s="115" t="s">
        <v>4</v>
      </c>
      <c r="E5" s="115" t="s">
        <v>5</v>
      </c>
    </row>
    <row r="6" spans="1:5">
      <c r="A6" s="195" t="s">
        <v>6</v>
      </c>
      <c r="B6" s="196"/>
      <c r="C6" s="196"/>
      <c r="D6" s="196"/>
      <c r="E6" s="197"/>
    </row>
    <row r="7" spans="1:5">
      <c r="A7" s="3" t="s">
        <v>36</v>
      </c>
      <c r="C7" s="15">
        <f>LEN(LEFT(A4,FIND(".",A4)-1))</f>
        <v>14</v>
      </c>
      <c r="D7" s="27" t="s">
        <v>1</v>
      </c>
      <c r="E7" s="17">
        <f>20-C7</f>
        <v>6</v>
      </c>
    </row>
    <row r="8" spans="1:5" ht="15.75" thickBot="1">
      <c r="D8" s="27"/>
    </row>
    <row r="9" spans="1:5">
      <c r="A9" s="195" t="s">
        <v>7</v>
      </c>
      <c r="B9" s="196"/>
      <c r="C9" s="196"/>
      <c r="D9" s="196"/>
      <c r="E9" s="197"/>
    </row>
    <row r="10" spans="1:5">
      <c r="A10" t="s">
        <v>27</v>
      </c>
      <c r="C10" s="109">
        <v>1</v>
      </c>
      <c r="D10" s="27" t="s">
        <v>14</v>
      </c>
      <c r="E10" s="15">
        <f>IF(C10=2,0,IF(C10=1,4,2))</f>
        <v>4</v>
      </c>
    </row>
    <row r="11" spans="1:5">
      <c r="A11" t="s">
        <v>28</v>
      </c>
      <c r="C11" s="109">
        <v>1</v>
      </c>
      <c r="D11" s="27" t="s">
        <v>11</v>
      </c>
      <c r="E11" s="15">
        <f>IF(C11=2,0,IF(C11=1,2,0))</f>
        <v>2</v>
      </c>
    </row>
    <row r="12" spans="1:5">
      <c r="A12" t="s">
        <v>29</v>
      </c>
      <c r="B12" s="3" t="s">
        <v>18</v>
      </c>
      <c r="C12" s="109">
        <v>1</v>
      </c>
      <c r="D12" s="27" t="s">
        <v>11</v>
      </c>
      <c r="E12" s="15">
        <f>IF(C12=2,0,IF(C12=1,2,0))</f>
        <v>2</v>
      </c>
    </row>
    <row r="13" spans="1:5">
      <c r="A13" s="5" t="s">
        <v>31</v>
      </c>
      <c r="B13" s="3"/>
      <c r="C13" s="15"/>
      <c r="D13" s="27"/>
    </row>
    <row r="14" spans="1:5">
      <c r="A14" t="s">
        <v>30</v>
      </c>
      <c r="C14" s="109">
        <v>2</v>
      </c>
      <c r="D14" s="27" t="s">
        <v>12</v>
      </c>
      <c r="E14" s="15">
        <f>IF(C14=2,0,IF(C14=1,1,0))</f>
        <v>0</v>
      </c>
    </row>
    <row r="15" spans="1:5">
      <c r="A15" s="5" t="s">
        <v>32</v>
      </c>
      <c r="C15" s="15"/>
      <c r="D15" s="27"/>
    </row>
    <row r="16" spans="1:5">
      <c r="A16" t="s">
        <v>136</v>
      </c>
      <c r="C16" s="109">
        <v>3</v>
      </c>
      <c r="D16" s="27" t="s">
        <v>13</v>
      </c>
      <c r="E16" s="15">
        <f>IF(C16=2,0,IF(C16=1,2,1))</f>
        <v>1</v>
      </c>
    </row>
    <row r="17" spans="1:5">
      <c r="A17" t="s">
        <v>33</v>
      </c>
      <c r="C17" s="109">
        <v>2</v>
      </c>
      <c r="D17" s="27" t="s">
        <v>14</v>
      </c>
      <c r="E17" s="15">
        <f>IF(C17=2,0,IF(C17=1,4,2))</f>
        <v>0</v>
      </c>
    </row>
    <row r="18" spans="1:5">
      <c r="A18" t="s">
        <v>137</v>
      </c>
      <c r="C18" s="109">
        <v>2</v>
      </c>
      <c r="D18" s="27" t="s">
        <v>13</v>
      </c>
      <c r="E18" s="15">
        <f>IF(C18=2,0,IF(C18=1,2,1))</f>
        <v>0</v>
      </c>
    </row>
    <row r="19" spans="1:5">
      <c r="A19" t="s">
        <v>138</v>
      </c>
      <c r="B19" s="3" t="s">
        <v>17</v>
      </c>
      <c r="C19" s="109">
        <v>240000</v>
      </c>
      <c r="E19" s="17">
        <f>IF(C19&lt;100,0,IF(C19&lt;1000,1,IF(C19&lt;10000,2,IF(C19&lt;100000,3,IF(C19&lt;1000000,4,IF(C19&lt;10000000,5,6))))))</f>
        <v>4</v>
      </c>
    </row>
    <row r="20" spans="1:5">
      <c r="A20" t="s">
        <v>34</v>
      </c>
      <c r="B20" s="3" t="s">
        <v>17</v>
      </c>
      <c r="C20" s="109">
        <v>20</v>
      </c>
      <c r="E20" s="17">
        <f>IF(C20&lt;5,0,IF(C20&lt;10,1,IF(C20&lt;100,2,IF(C20&lt;1000,3,IF(C20&lt;10000,4,IF(C20&lt;100000,5,6))))))</f>
        <v>2</v>
      </c>
    </row>
    <row r="21" spans="1:5" ht="30">
      <c r="A21" s="100" t="s">
        <v>35</v>
      </c>
      <c r="B21" s="101" t="s">
        <v>19</v>
      </c>
      <c r="C21" s="110">
        <v>1</v>
      </c>
      <c r="D21" s="102"/>
      <c r="E21" s="103">
        <f>IF(C21&lt;1,0,IF(C21&lt;5,1,IF(C21&lt;10,2,IF(C21&lt;50,3,IF(C21&lt;100,4,IF(C21&lt;500,5,6))))))</f>
        <v>1</v>
      </c>
    </row>
    <row r="22" spans="1:5" ht="15.75" thickBot="1">
      <c r="D22" s="27"/>
    </row>
    <row r="23" spans="1:5">
      <c r="A23" s="195" t="s">
        <v>20</v>
      </c>
      <c r="B23" s="196"/>
      <c r="C23" s="196"/>
      <c r="D23" s="196"/>
      <c r="E23" s="197"/>
    </row>
    <row r="24" spans="1:5">
      <c r="A24" t="s">
        <v>37</v>
      </c>
      <c r="C24" s="109">
        <v>2</v>
      </c>
      <c r="D24" s="27" t="s">
        <v>21</v>
      </c>
      <c r="E24" s="15">
        <f>IF(C24=2,0,IF(C24=1,-2,-1))</f>
        <v>0</v>
      </c>
    </row>
    <row r="25" spans="1:5">
      <c r="A25" t="s">
        <v>38</v>
      </c>
      <c r="C25" s="109">
        <v>2</v>
      </c>
      <c r="D25" s="27" t="s">
        <v>21</v>
      </c>
      <c r="E25" s="15">
        <f>IF(C25=2,0,IF(C25=1,-2,-1))</f>
        <v>0</v>
      </c>
    </row>
    <row r="26" spans="1:5">
      <c r="A26" t="s">
        <v>139</v>
      </c>
      <c r="C26" s="109">
        <v>2</v>
      </c>
      <c r="D26" s="27" t="s">
        <v>23</v>
      </c>
      <c r="E26" s="15">
        <f t="shared" ref="E26:E29" si="0">IF(C26=2,0,IF(C26=1,-2,-2))</f>
        <v>0</v>
      </c>
    </row>
    <row r="27" spans="1:5">
      <c r="A27" t="s">
        <v>140</v>
      </c>
      <c r="C27" s="109">
        <v>4</v>
      </c>
      <c r="D27" s="27" t="s">
        <v>125</v>
      </c>
      <c r="E27" s="15">
        <f>IF(C27=1,-4,IF(C27=2,-6,IF(C27=3,-10,0)))</f>
        <v>0</v>
      </c>
    </row>
    <row r="28" spans="1:5">
      <c r="A28" t="s">
        <v>39</v>
      </c>
      <c r="C28" s="109">
        <v>2</v>
      </c>
      <c r="D28" s="27" t="s">
        <v>25</v>
      </c>
      <c r="E28" s="15">
        <f>IF(C28=2,0,IF(C28=1,-1,-1))</f>
        <v>0</v>
      </c>
    </row>
    <row r="29" spans="1:5">
      <c r="A29" t="s">
        <v>40</v>
      </c>
      <c r="C29" s="109">
        <v>2</v>
      </c>
      <c r="D29" s="27" t="s">
        <v>23</v>
      </c>
      <c r="E29" s="15">
        <f t="shared" si="0"/>
        <v>0</v>
      </c>
    </row>
    <row r="30" spans="1:5">
      <c r="A30" t="s">
        <v>41</v>
      </c>
      <c r="C30" s="109">
        <v>2</v>
      </c>
      <c r="D30" s="27" t="s">
        <v>26</v>
      </c>
      <c r="E30" s="15">
        <f>IF(C30=2,0,IF(C30=1,-20,-20))</f>
        <v>0</v>
      </c>
    </row>
    <row r="31" spans="1:5" ht="30">
      <c r="A31" s="100" t="s">
        <v>42</v>
      </c>
      <c r="C31" s="109">
        <v>2</v>
      </c>
      <c r="D31" s="27" t="s">
        <v>24</v>
      </c>
      <c r="E31" s="15">
        <f>IF(C31=2,0,IF(C31=1,-10,-10))</f>
        <v>0</v>
      </c>
    </row>
    <row r="32" spans="1:5" ht="15.75" thickBot="1">
      <c r="D32" s="27"/>
    </row>
    <row r="33" spans="1:5">
      <c r="A33" s="195" t="s">
        <v>8</v>
      </c>
      <c r="B33" s="196"/>
      <c r="C33" s="196"/>
      <c r="D33" s="196"/>
      <c r="E33" s="197"/>
    </row>
    <row r="34" spans="1:5">
      <c r="A34" s="20" t="s">
        <v>146</v>
      </c>
      <c r="B34" s="2"/>
      <c r="C34" s="2"/>
      <c r="D34" s="27"/>
    </row>
    <row r="35" spans="1:5">
      <c r="A35" t="s">
        <v>134</v>
      </c>
      <c r="C35" s="109">
        <v>1</v>
      </c>
      <c r="D35" s="27" t="s">
        <v>23</v>
      </c>
      <c r="E35" s="15">
        <f t="shared" ref="E35:E37" si="1">IF(C35=2,0,IF(C35=1,-2,-2))</f>
        <v>-2</v>
      </c>
    </row>
    <row r="36" spans="1:5">
      <c r="A36" t="s">
        <v>133</v>
      </c>
      <c r="C36" s="109">
        <v>2</v>
      </c>
      <c r="D36" s="27" t="s">
        <v>23</v>
      </c>
      <c r="E36" s="15">
        <f t="shared" si="1"/>
        <v>0</v>
      </c>
    </row>
    <row r="37" spans="1:5">
      <c r="A37" t="s">
        <v>131</v>
      </c>
      <c r="C37" s="109">
        <v>2</v>
      </c>
      <c r="D37" s="27" t="s">
        <v>23</v>
      </c>
      <c r="E37" s="15">
        <f t="shared" si="1"/>
        <v>0</v>
      </c>
    </row>
    <row r="38" spans="1:5">
      <c r="A38" t="s">
        <v>132</v>
      </c>
      <c r="C38" s="109">
        <v>2</v>
      </c>
      <c r="D38" s="27" t="s">
        <v>23</v>
      </c>
      <c r="E38" s="15">
        <f>IF(C38=2,0,IF(C38=1,-2,-2))</f>
        <v>0</v>
      </c>
    </row>
    <row r="39" spans="1:5">
      <c r="A39" t="s">
        <v>135</v>
      </c>
      <c r="C39" s="109">
        <v>2</v>
      </c>
      <c r="D39" s="28" t="s">
        <v>22</v>
      </c>
      <c r="E39" s="15">
        <f>IF(C39=2,0,IF(C39=1,-4,-2))</f>
        <v>0</v>
      </c>
    </row>
    <row r="40" spans="1:5">
      <c r="A40" t="s">
        <v>47</v>
      </c>
      <c r="C40" s="109">
        <v>0</v>
      </c>
      <c r="D40" s="27" t="s">
        <v>43</v>
      </c>
      <c r="E40" s="15">
        <f>C40*-2</f>
        <v>0</v>
      </c>
    </row>
    <row r="41" spans="1:5">
      <c r="A41" s="15" t="s">
        <v>48</v>
      </c>
      <c r="C41" s="109">
        <v>1</v>
      </c>
      <c r="D41" s="27" t="s">
        <v>45</v>
      </c>
      <c r="E41" s="15">
        <f>C41*-2</f>
        <v>-2</v>
      </c>
    </row>
    <row r="42" spans="1:5">
      <c r="A42" t="s">
        <v>49</v>
      </c>
      <c r="C42" s="109">
        <v>0</v>
      </c>
      <c r="D42" s="27" t="s">
        <v>23</v>
      </c>
      <c r="E42" s="15">
        <f>IF(C42=2,0,IF(C42=1,-2,-2))</f>
        <v>-2</v>
      </c>
    </row>
    <row r="43" spans="1:5">
      <c r="A43" t="s">
        <v>50</v>
      </c>
      <c r="C43" s="109">
        <v>2</v>
      </c>
      <c r="D43" s="27" t="s">
        <v>46</v>
      </c>
      <c r="E43" s="15">
        <f>C43*-1</f>
        <v>-2</v>
      </c>
    </row>
    <row r="44" spans="1:5">
      <c r="A44" t="s">
        <v>51</v>
      </c>
      <c r="C44" s="109">
        <v>2</v>
      </c>
      <c r="D44" s="27" t="s">
        <v>44</v>
      </c>
      <c r="E44" s="15">
        <f>IF(C44=2,0,IF(C44=1,-10,-10))</f>
        <v>0</v>
      </c>
    </row>
    <row r="45" spans="1:5" ht="15.75" thickBot="1">
      <c r="D45" s="27"/>
    </row>
    <row r="46" spans="1:5">
      <c r="A46" s="195" t="s">
        <v>9</v>
      </c>
      <c r="B46" s="196"/>
      <c r="C46" s="196"/>
      <c r="D46" s="196"/>
      <c r="E46" s="197"/>
    </row>
    <row r="47" spans="1:5">
      <c r="A47" t="s">
        <v>52</v>
      </c>
      <c r="C47" s="109">
        <v>2</v>
      </c>
      <c r="D47" s="27" t="s">
        <v>56</v>
      </c>
      <c r="E47" s="15">
        <f>IF(C47=2,0,IF(C47=1,-8,-4))</f>
        <v>0</v>
      </c>
    </row>
    <row r="48" spans="1:5">
      <c r="A48" t="s">
        <v>53</v>
      </c>
      <c r="C48" s="109">
        <v>2</v>
      </c>
      <c r="D48" s="27" t="s">
        <v>56</v>
      </c>
      <c r="E48" s="15">
        <f>IF(C48=2,0,IF(C48=1,-8,-4))</f>
        <v>0</v>
      </c>
    </row>
    <row r="49" spans="1:5">
      <c r="A49" t="s">
        <v>54</v>
      </c>
      <c r="C49" s="109">
        <v>2</v>
      </c>
      <c r="D49" s="27" t="s">
        <v>57</v>
      </c>
      <c r="E49" s="15">
        <f>IF(C49=2,0,IF(C49=1,-6,-3))</f>
        <v>0</v>
      </c>
    </row>
    <row r="50" spans="1:5">
      <c r="A50" t="s">
        <v>55</v>
      </c>
      <c r="C50" s="109">
        <v>2</v>
      </c>
      <c r="D50" s="27" t="s">
        <v>58</v>
      </c>
      <c r="E50" s="15">
        <f>IF(C50=2,0,IF(C50=1,-12,-6))</f>
        <v>0</v>
      </c>
    </row>
    <row r="51" spans="1:5" ht="15.75" thickBot="1">
      <c r="D51" s="27"/>
    </row>
    <row r="52" spans="1:5">
      <c r="A52" s="195" t="s">
        <v>10</v>
      </c>
      <c r="B52" s="196"/>
      <c r="C52" s="196"/>
      <c r="D52" s="196"/>
      <c r="E52" s="197"/>
    </row>
    <row r="53" spans="1:5">
      <c r="A53" t="s">
        <v>141</v>
      </c>
      <c r="B53" s="2"/>
      <c r="C53" s="111">
        <v>2</v>
      </c>
      <c r="E53" s="17">
        <f>IF(C53=1,1,IF(C53=2,0.75,IF(C53=3,0.5,0.25)))</f>
        <v>0.75</v>
      </c>
    </row>
    <row r="54" spans="1:5">
      <c r="A54" t="s">
        <v>0</v>
      </c>
      <c r="D54" s="27"/>
    </row>
    <row r="55" spans="1:5">
      <c r="A55" s="5" t="s">
        <v>62</v>
      </c>
      <c r="D55" s="27"/>
    </row>
    <row r="56" spans="1:5">
      <c r="A56" s="5" t="s">
        <v>126</v>
      </c>
      <c r="D56" s="27"/>
    </row>
    <row r="57" spans="1:5">
      <c r="A57" s="5" t="s">
        <v>63</v>
      </c>
      <c r="D57" s="27"/>
    </row>
    <row r="58" spans="1:5">
      <c r="A58" t="s">
        <v>59</v>
      </c>
      <c r="C58" s="109">
        <v>4</v>
      </c>
      <c r="D58" s="26" t="s">
        <v>151</v>
      </c>
      <c r="E58" s="17">
        <f>IF($C$64&lt;&gt;0,0,C58*2)</f>
        <v>8</v>
      </c>
    </row>
    <row r="59" spans="1:5">
      <c r="A59" t="s">
        <v>142</v>
      </c>
      <c r="C59" s="109">
        <v>2</v>
      </c>
      <c r="D59" s="26" t="s">
        <v>152</v>
      </c>
      <c r="E59" s="17">
        <f>IF($C$64&lt;&gt;0,0,C59)</f>
        <v>2</v>
      </c>
    </row>
    <row r="60" spans="1:5">
      <c r="A60" t="s">
        <v>60</v>
      </c>
      <c r="C60" s="109">
        <v>5</v>
      </c>
      <c r="D60" s="26" t="s">
        <v>152</v>
      </c>
      <c r="E60" s="17">
        <f>IF($C$64&lt;&gt;0,0,C60)</f>
        <v>5</v>
      </c>
    </row>
    <row r="61" spans="1:5">
      <c r="A61" t="s">
        <v>61</v>
      </c>
      <c r="C61" s="109">
        <v>3</v>
      </c>
      <c r="D61" s="26" t="s">
        <v>152</v>
      </c>
      <c r="E61" s="17">
        <f>IF($C$64&lt;&gt;0,0,C61)</f>
        <v>3</v>
      </c>
    </row>
    <row r="62" spans="1:5">
      <c r="A62" t="s">
        <v>143</v>
      </c>
      <c r="C62" s="109">
        <v>2</v>
      </c>
      <c r="D62" s="26" t="s">
        <v>152</v>
      </c>
      <c r="E62" s="17">
        <f>IF($C$64&lt;&gt;0,0,C62)</f>
        <v>2</v>
      </c>
    </row>
    <row r="63" spans="1:5">
      <c r="A63" t="s">
        <v>64</v>
      </c>
      <c r="C63" s="109">
        <v>1</v>
      </c>
      <c r="D63" s="26" t="s">
        <v>152</v>
      </c>
      <c r="E63" s="17">
        <f>IF($C$64&lt;&gt;0,0,C63)</f>
        <v>1</v>
      </c>
    </row>
    <row r="64" spans="1:5">
      <c r="A64" s="3" t="s">
        <v>144</v>
      </c>
      <c r="B64" s="3" t="s">
        <v>114</v>
      </c>
      <c r="C64" s="109"/>
      <c r="E64" s="17">
        <f>IF(SUM(C58:C63)&lt;&gt;0,0,C64)</f>
        <v>0</v>
      </c>
    </row>
    <row r="66" spans="1:5">
      <c r="B66" t="s">
        <v>124</v>
      </c>
      <c r="C66">
        <f>E66</f>
        <v>14</v>
      </c>
      <c r="E66" s="15">
        <f>SUM(E7:E50)</f>
        <v>14</v>
      </c>
    </row>
    <row r="67" spans="1:5">
      <c r="B67" t="s">
        <v>120</v>
      </c>
      <c r="C67">
        <f>SUM(E58:E63)</f>
        <v>21</v>
      </c>
    </row>
    <row r="68" spans="1:5">
      <c r="B68" t="s">
        <v>121</v>
      </c>
      <c r="C68">
        <f>E53</f>
        <v>0.75</v>
      </c>
    </row>
    <row r="69" spans="1:5">
      <c r="B69" t="s">
        <v>123</v>
      </c>
      <c r="C69">
        <f>E64*5</f>
        <v>0</v>
      </c>
    </row>
    <row r="70" spans="1:5">
      <c r="B70" t="s">
        <v>122</v>
      </c>
      <c r="C70">
        <f>(C67*C68)+C69</f>
        <v>15.75</v>
      </c>
    </row>
    <row r="71" spans="1:5">
      <c r="B71" t="s">
        <v>127</v>
      </c>
      <c r="D71" s="26">
        <f>C66+C70</f>
        <v>29.75</v>
      </c>
    </row>
    <row r="72" spans="1:5" ht="15.75" thickBot="1"/>
    <row r="73" spans="1:5" ht="15.75">
      <c r="B73" s="21" t="s">
        <v>128</v>
      </c>
      <c r="C73" s="22"/>
      <c r="D73" s="29">
        <f>'III. Wertberechnung'!H29</f>
        <v>738.33815604513347</v>
      </c>
    </row>
    <row r="74" spans="1:5" ht="15.75">
      <c r="B74" s="23" t="s">
        <v>129</v>
      </c>
      <c r="C74" s="112">
        <v>0.33</v>
      </c>
      <c r="D74" s="30">
        <f>IF(C74&lt;&gt;"",C74*D73,0.33*D73)</f>
        <v>243.65159149489406</v>
      </c>
    </row>
    <row r="75" spans="1:5" ht="16.5" thickBot="1">
      <c r="B75" s="24" t="s">
        <v>130</v>
      </c>
      <c r="C75" s="6"/>
      <c r="D75" s="31">
        <f>(D73+D74)/2</f>
        <v>490.99487377001378</v>
      </c>
    </row>
    <row r="78" spans="1:5">
      <c r="A78" s="178" t="s">
        <v>260</v>
      </c>
      <c r="B78" s="175"/>
      <c r="C78" s="176"/>
      <c r="D78" s="176"/>
      <c r="E78" s="176"/>
    </row>
    <row r="79" spans="1:5">
      <c r="A79" t="s">
        <v>264</v>
      </c>
      <c r="B79" s="177" t="s">
        <v>261</v>
      </c>
      <c r="D79"/>
      <c r="E79"/>
    </row>
    <row r="80" spans="1:5">
      <c r="A80" t="s">
        <v>262</v>
      </c>
      <c r="B80" s="177" t="s">
        <v>261</v>
      </c>
      <c r="D80"/>
      <c r="E80"/>
    </row>
    <row r="81" spans="1:6">
      <c r="A81" t="s">
        <v>263</v>
      </c>
      <c r="B81" s="177" t="s">
        <v>261</v>
      </c>
      <c r="D81"/>
      <c r="E81"/>
    </row>
    <row r="82" spans="1:6">
      <c r="D82"/>
      <c r="E82"/>
      <c r="F82" s="3"/>
    </row>
    <row r="83" spans="1:6">
      <c r="A83" s="184"/>
      <c r="B83" s="176"/>
      <c r="C83" s="176"/>
      <c r="D83" s="176"/>
      <c r="E83" s="176"/>
    </row>
    <row r="84" spans="1:6">
      <c r="A84" s="15"/>
      <c r="B84" s="185"/>
      <c r="D84"/>
      <c r="E84"/>
    </row>
  </sheetData>
  <mergeCells count="6">
    <mergeCell ref="A52:E52"/>
    <mergeCell ref="A6:E6"/>
    <mergeCell ref="A9:E9"/>
    <mergeCell ref="A23:E23"/>
    <mergeCell ref="A33:E33"/>
    <mergeCell ref="A46:E46"/>
  </mergeCells>
  <hyperlinks>
    <hyperlink ref="B20" r:id="rId1" location="q=intitle:ihrdomainname+inurl:.de&amp;*"/>
    <hyperlink ref="B19" r:id="rId2"/>
    <hyperlink ref="B12" r:id="rId3"/>
    <hyperlink ref="B21" r:id="rId4" display="Bei Google Analytics abrufbar!"/>
    <hyperlink ref="B64" location="'Beispiele zu F.8'!A1" display="Sehen Sie sich hier die Beispiele an!"/>
    <hyperlink ref="A7" r:id="rId5" location="8781"/>
    <hyperlink ref="A64" r:id="rId6" location="8831"/>
    <hyperlink ref="B79" r:id="rId7"/>
    <hyperlink ref="B80" r:id="rId8"/>
    <hyperlink ref="B81" r:id="rId9"/>
  </hyperlinks>
  <pageMargins left="0.7" right="0.7" top="0.78740157499999996" bottom="0.78740157499999996" header="0.3" footer="0.3"/>
  <pageSetup paperSize="9" orientation="portrait" r:id="rId10"/>
  <headerFooter>
    <oddFooter>&amp;Cerstellt von: Torsten Montag, Gründerlexikon
http://www.gruenderlexikon.de</oddFooter>
  </headerFooter>
  <drawing r:id="rId11"/>
  <legacyDrawing r:id="rId1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C16" sqref="C16"/>
    </sheetView>
  </sheetViews>
  <sheetFormatPr baseColWidth="10" defaultRowHeight="15"/>
  <cols>
    <col min="1" max="1" width="61.85546875" customWidth="1"/>
    <col min="2" max="2" width="26.28515625" customWidth="1"/>
    <col min="3" max="3" width="31.85546875" customWidth="1"/>
    <col min="4" max="4" width="29.42578125" customWidth="1"/>
    <col min="5" max="5" width="31" customWidth="1"/>
    <col min="6" max="6" width="27.85546875" customWidth="1"/>
  </cols>
  <sheetData>
    <row r="1" spans="1:6" ht="15.75" thickBot="1"/>
    <row r="2" spans="1:6" ht="15.75" thickBot="1">
      <c r="A2" s="7" t="s">
        <v>65</v>
      </c>
      <c r="B2" s="8" t="s">
        <v>119</v>
      </c>
      <c r="C2" s="8" t="s">
        <v>118</v>
      </c>
      <c r="D2" s="8" t="s">
        <v>117</v>
      </c>
      <c r="E2" s="8" t="s">
        <v>116</v>
      </c>
      <c r="F2" s="9" t="s">
        <v>77</v>
      </c>
    </row>
    <row r="3" spans="1:6">
      <c r="A3" s="10" t="s">
        <v>66</v>
      </c>
      <c r="B3" s="11" t="s">
        <v>71</v>
      </c>
      <c r="C3" s="11" t="s">
        <v>73</v>
      </c>
      <c r="D3" s="11" t="s">
        <v>75</v>
      </c>
      <c r="E3" s="11" t="s">
        <v>78</v>
      </c>
      <c r="F3" s="12" t="s">
        <v>111</v>
      </c>
    </row>
    <row r="4" spans="1:6" ht="15.75" thickBot="1">
      <c r="A4" s="13"/>
      <c r="B4" s="6" t="s">
        <v>72</v>
      </c>
      <c r="C4" s="6" t="s">
        <v>74</v>
      </c>
      <c r="D4" s="6" t="s">
        <v>76</v>
      </c>
      <c r="E4" s="6" t="s">
        <v>112</v>
      </c>
      <c r="F4" s="14" t="s">
        <v>79</v>
      </c>
    </row>
    <row r="5" spans="1:6">
      <c r="A5" s="10" t="s">
        <v>67</v>
      </c>
      <c r="B5" s="11" t="s">
        <v>82</v>
      </c>
      <c r="C5" s="11" t="s">
        <v>80</v>
      </c>
      <c r="D5" s="11" t="s">
        <v>84</v>
      </c>
      <c r="E5" s="11" t="s">
        <v>86</v>
      </c>
      <c r="F5" s="12" t="s">
        <v>113</v>
      </c>
    </row>
    <row r="6" spans="1:6" ht="15.75" thickBot="1">
      <c r="A6" s="13"/>
      <c r="B6" s="6" t="s">
        <v>83</v>
      </c>
      <c r="C6" s="6" t="s">
        <v>81</v>
      </c>
      <c r="D6" s="6" t="s">
        <v>85</v>
      </c>
      <c r="E6" s="6" t="s">
        <v>87</v>
      </c>
      <c r="F6" s="14" t="s">
        <v>88</v>
      </c>
    </row>
    <row r="7" spans="1:6">
      <c r="A7" s="10" t="s">
        <v>68</v>
      </c>
      <c r="B7" s="11" t="s">
        <v>96</v>
      </c>
      <c r="C7" s="11" t="s">
        <v>90</v>
      </c>
      <c r="D7" s="11" t="s">
        <v>92</v>
      </c>
      <c r="E7" s="11" t="s">
        <v>93</v>
      </c>
      <c r="F7" s="12" t="s">
        <v>91</v>
      </c>
    </row>
    <row r="8" spans="1:6" ht="15.75" thickBot="1">
      <c r="A8" s="13"/>
      <c r="B8" s="6" t="s">
        <v>99</v>
      </c>
      <c r="C8" s="6" t="s">
        <v>98</v>
      </c>
      <c r="D8" s="6" t="s">
        <v>97</v>
      </c>
      <c r="E8" s="6" t="s">
        <v>100</v>
      </c>
      <c r="F8" s="14" t="s">
        <v>101</v>
      </c>
    </row>
    <row r="9" spans="1:6">
      <c r="A9" s="10" t="s">
        <v>69</v>
      </c>
      <c r="B9" s="11" t="s">
        <v>96</v>
      </c>
      <c r="C9" s="11" t="s">
        <v>90</v>
      </c>
      <c r="D9" s="11" t="s">
        <v>92</v>
      </c>
      <c r="E9" s="11" t="s">
        <v>93</v>
      </c>
      <c r="F9" s="12" t="s">
        <v>91</v>
      </c>
    </row>
    <row r="10" spans="1:6" ht="15.75" thickBot="1">
      <c r="A10" s="13"/>
      <c r="B10" s="6" t="s">
        <v>106</v>
      </c>
      <c r="C10" s="6" t="s">
        <v>105</v>
      </c>
      <c r="D10" s="6" t="s">
        <v>103</v>
      </c>
      <c r="E10" s="6" t="s">
        <v>104</v>
      </c>
      <c r="F10" s="14" t="s">
        <v>102</v>
      </c>
    </row>
    <row r="11" spans="1:6">
      <c r="A11" s="10" t="s">
        <v>70</v>
      </c>
      <c r="B11" s="11" t="s">
        <v>110</v>
      </c>
      <c r="C11" s="11" t="s">
        <v>89</v>
      </c>
      <c r="D11" s="11" t="s">
        <v>94</v>
      </c>
      <c r="E11" s="11" t="s">
        <v>89</v>
      </c>
      <c r="F11" s="12" t="s">
        <v>109</v>
      </c>
    </row>
    <row r="12" spans="1:6" ht="15.75" thickBot="1">
      <c r="A12" s="13"/>
      <c r="B12" s="6" t="s">
        <v>107</v>
      </c>
      <c r="C12" s="6" t="s">
        <v>89</v>
      </c>
      <c r="D12" s="6" t="s">
        <v>95</v>
      </c>
      <c r="E12" s="6" t="s">
        <v>89</v>
      </c>
      <c r="F12" s="14" t="s">
        <v>108</v>
      </c>
    </row>
    <row r="15" spans="1:6">
      <c r="A15" s="3" t="s">
        <v>115</v>
      </c>
    </row>
  </sheetData>
  <hyperlinks>
    <hyperlink ref="A15" location="Domainbewertung!A1" display="Zurück zur Domainbewertung!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12"/>
  <sheetViews>
    <sheetView workbookViewId="0">
      <selection activeCell="Q14" sqref="Q14"/>
    </sheetView>
  </sheetViews>
  <sheetFormatPr baseColWidth="10" defaultRowHeight="15"/>
  <cols>
    <col min="2" max="2" width="3.42578125" customWidth="1"/>
    <col min="3" max="3" width="13" bestFit="1" customWidth="1"/>
  </cols>
  <sheetData>
    <row r="1" spans="1:3">
      <c r="A1" t="s">
        <v>145</v>
      </c>
      <c r="B1" t="s">
        <v>147</v>
      </c>
    </row>
    <row r="2" spans="1:3">
      <c r="A2" s="18">
        <v>-10</v>
      </c>
      <c r="B2" s="16">
        <v>10</v>
      </c>
      <c r="C2" s="16">
        <f t="shared" ref="C2:C33" si="0">46.141*EXP(0.0932*A2)</f>
        <v>18.168728930699697</v>
      </c>
    </row>
    <row r="3" spans="1:3">
      <c r="A3" s="18">
        <v>-9</v>
      </c>
      <c r="B3" s="16">
        <v>12</v>
      </c>
      <c r="C3" s="16">
        <f t="shared" si="0"/>
        <v>19.943473075673356</v>
      </c>
    </row>
    <row r="4" spans="1:3">
      <c r="A4">
        <v>-8</v>
      </c>
      <c r="B4" s="16">
        <v>14</v>
      </c>
      <c r="C4" s="16">
        <f t="shared" si="0"/>
        <v>21.891576446387692</v>
      </c>
    </row>
    <row r="5" spans="1:3">
      <c r="A5">
        <v>-7</v>
      </c>
      <c r="B5" s="16">
        <v>17</v>
      </c>
      <c r="C5" s="16">
        <f t="shared" si="0"/>
        <v>24.029972988636811</v>
      </c>
    </row>
    <row r="6" spans="1:3">
      <c r="A6">
        <v>-6</v>
      </c>
      <c r="B6" s="16">
        <v>20</v>
      </c>
      <c r="C6" s="16">
        <f t="shared" si="0"/>
        <v>26.377250777200086</v>
      </c>
    </row>
    <row r="7" spans="1:3">
      <c r="A7">
        <v>-5</v>
      </c>
      <c r="B7" s="16">
        <v>25</v>
      </c>
      <c r="C7" s="16">
        <f t="shared" si="0"/>
        <v>28.953813593228347</v>
      </c>
    </row>
    <row r="8" spans="1:3">
      <c r="A8">
        <v>-4</v>
      </c>
      <c r="B8" s="16">
        <v>30</v>
      </c>
      <c r="C8" s="16">
        <f t="shared" si="0"/>
        <v>31.782058284711113</v>
      </c>
    </row>
    <row r="9" spans="1:3">
      <c r="A9">
        <v>-3</v>
      </c>
      <c r="B9" s="16">
        <v>35</v>
      </c>
      <c r="C9" s="16">
        <f t="shared" si="0"/>
        <v>34.886569451735852</v>
      </c>
    </row>
    <row r="10" spans="1:3">
      <c r="A10">
        <v>-2</v>
      </c>
      <c r="B10" s="16">
        <v>40</v>
      </c>
      <c r="C10" s="16">
        <f t="shared" si="0"/>
        <v>38.294333148846654</v>
      </c>
    </row>
    <row r="11" spans="1:3">
      <c r="A11">
        <v>-1</v>
      </c>
      <c r="B11" s="16">
        <v>45</v>
      </c>
      <c r="C11" s="16">
        <f t="shared" si="0"/>
        <v>42.034971462116317</v>
      </c>
    </row>
    <row r="12" spans="1:3">
      <c r="A12">
        <v>0</v>
      </c>
      <c r="B12" s="16">
        <v>50</v>
      </c>
      <c r="C12" s="16">
        <f t="shared" si="0"/>
        <v>46.140999999999998</v>
      </c>
    </row>
    <row r="13" spans="1:3">
      <c r="A13">
        <v>1</v>
      </c>
      <c r="B13" s="16">
        <v>55</v>
      </c>
      <c r="C13" s="16">
        <f t="shared" si="0"/>
        <v>50.648110536217132</v>
      </c>
    </row>
    <row r="14" spans="1:3">
      <c r="A14">
        <v>2</v>
      </c>
      <c r="B14" s="16">
        <v>60</v>
      </c>
      <c r="C14" s="16">
        <f t="shared" si="0"/>
        <v>55.595481261543291</v>
      </c>
    </row>
    <row r="15" spans="1:3">
      <c r="A15">
        <v>3</v>
      </c>
      <c r="B15" s="16">
        <v>65</v>
      </c>
      <c r="C15" s="16">
        <f t="shared" si="0"/>
        <v>61.026117341384726</v>
      </c>
    </row>
    <row r="16" spans="1:3">
      <c r="A16">
        <v>4</v>
      </c>
      <c r="B16" s="16">
        <v>70</v>
      </c>
      <c r="C16" s="16">
        <f t="shared" si="0"/>
        <v>66.987224739442382</v>
      </c>
    </row>
    <row r="17" spans="1:8">
      <c r="A17">
        <v>5</v>
      </c>
      <c r="B17" s="16">
        <v>80</v>
      </c>
      <c r="C17" s="16">
        <f t="shared" si="0"/>
        <v>73.53062055693843</v>
      </c>
    </row>
    <row r="18" spans="1:8">
      <c r="A18">
        <v>6</v>
      </c>
      <c r="B18" s="16">
        <v>90</v>
      </c>
      <c r="C18" s="16">
        <f t="shared" si="0"/>
        <v>80.713183454291368</v>
      </c>
    </row>
    <row r="19" spans="1:8">
      <c r="A19">
        <v>7</v>
      </c>
      <c r="B19" s="16">
        <v>100</v>
      </c>
      <c r="C19" s="16">
        <f t="shared" si="0"/>
        <v>88.597348070542921</v>
      </c>
    </row>
    <row r="20" spans="1:8">
      <c r="A20">
        <v>8</v>
      </c>
      <c r="B20" s="16">
        <v>110</v>
      </c>
      <c r="C20" s="16">
        <f t="shared" si="0"/>
        <v>97.251647738292633</v>
      </c>
    </row>
    <row r="21" spans="1:8">
      <c r="A21">
        <v>9</v>
      </c>
      <c r="B21" s="16">
        <v>120</v>
      </c>
      <c r="C21" s="16">
        <f t="shared" si="0"/>
        <v>106.75131021170534</v>
      </c>
    </row>
    <row r="22" spans="1:8">
      <c r="A22">
        <v>10</v>
      </c>
      <c r="B22" s="16">
        <v>130</v>
      </c>
      <c r="C22" s="16">
        <f t="shared" si="0"/>
        <v>117.17891158597466</v>
      </c>
    </row>
    <row r="23" spans="1:8">
      <c r="A23">
        <v>11</v>
      </c>
      <c r="B23" s="16">
        <v>140</v>
      </c>
      <c r="C23" s="16">
        <f t="shared" si="0"/>
        <v>128.62509409245703</v>
      </c>
    </row>
    <row r="24" spans="1:8">
      <c r="A24">
        <v>12</v>
      </c>
      <c r="B24" s="16">
        <v>150</v>
      </c>
      <c r="C24" s="16">
        <f t="shared" si="0"/>
        <v>141.18935400893116</v>
      </c>
    </row>
    <row r="25" spans="1:8">
      <c r="A25">
        <v>13</v>
      </c>
      <c r="B25" s="16">
        <v>165</v>
      </c>
      <c r="C25" s="16">
        <f t="shared" si="0"/>
        <v>154.9809065339164</v>
      </c>
    </row>
    <row r="26" spans="1:8">
      <c r="A26">
        <v>14</v>
      </c>
      <c r="B26" s="16">
        <v>180</v>
      </c>
      <c r="C26" s="16">
        <f t="shared" si="0"/>
        <v>170.11963514299507</v>
      </c>
    </row>
    <row r="27" spans="1:8">
      <c r="A27">
        <v>15</v>
      </c>
      <c r="B27" s="16">
        <v>200</v>
      </c>
      <c r="C27" s="16">
        <f t="shared" si="0"/>
        <v>186.73713367944652</v>
      </c>
      <c r="F27" t="s">
        <v>148</v>
      </c>
      <c r="H27" t="s">
        <v>149</v>
      </c>
    </row>
    <row r="28" spans="1:8">
      <c r="A28">
        <v>16</v>
      </c>
      <c r="B28" s="16">
        <v>220</v>
      </c>
      <c r="C28" s="16">
        <f t="shared" si="0"/>
        <v>204.97785023759695</v>
      </c>
    </row>
    <row r="29" spans="1:8">
      <c r="A29">
        <v>17</v>
      </c>
      <c r="B29" s="16">
        <v>240</v>
      </c>
      <c r="C29" s="16">
        <f t="shared" si="0"/>
        <v>225.00034278212371</v>
      </c>
      <c r="F29" t="s">
        <v>150</v>
      </c>
      <c r="H29" s="16">
        <f>46.141*EXP(0.0932*'III. Domainbewertung'!D71)</f>
        <v>738.33815604513347</v>
      </c>
    </row>
    <row r="30" spans="1:8">
      <c r="A30">
        <v>18</v>
      </c>
      <c r="B30" s="16">
        <v>260</v>
      </c>
      <c r="C30" s="16">
        <f t="shared" si="0"/>
        <v>246.97865741782246</v>
      </c>
    </row>
    <row r="31" spans="1:8">
      <c r="A31">
        <v>19</v>
      </c>
      <c r="B31" s="16">
        <v>290</v>
      </c>
      <c r="C31" s="16">
        <f t="shared" si="0"/>
        <v>271.10384129048737</v>
      </c>
    </row>
    <row r="32" spans="1:8">
      <c r="A32">
        <v>20</v>
      </c>
      <c r="B32" s="16">
        <v>320</v>
      </c>
      <c r="C32" s="16">
        <f t="shared" si="0"/>
        <v>297.58560326983962</v>
      </c>
    </row>
    <row r="33" spans="1:3">
      <c r="A33">
        <v>21</v>
      </c>
      <c r="B33" s="16">
        <v>350</v>
      </c>
      <c r="C33" s="16">
        <f t="shared" si="0"/>
        <v>326.65413685004</v>
      </c>
    </row>
    <row r="34" spans="1:3">
      <c r="A34">
        <v>22</v>
      </c>
      <c r="B34" s="16">
        <v>380</v>
      </c>
      <c r="C34" s="16">
        <f t="shared" ref="C34:C65" si="1">46.141*EXP(0.0932*A34)</f>
        <v>358.56212111340079</v>
      </c>
    </row>
    <row r="35" spans="1:3">
      <c r="A35">
        <v>23</v>
      </c>
      <c r="B35" s="16">
        <v>410</v>
      </c>
      <c r="C35" s="16">
        <f t="shared" si="1"/>
        <v>393.58691715073354</v>
      </c>
    </row>
    <row r="36" spans="1:3">
      <c r="A36">
        <v>24</v>
      </c>
      <c r="B36" s="16">
        <v>450</v>
      </c>
      <c r="C36" s="16">
        <f t="shared" si="1"/>
        <v>432.03297903078141</v>
      </c>
    </row>
    <row r="37" spans="1:3">
      <c r="A37">
        <v>25</v>
      </c>
      <c r="B37" s="16">
        <v>500</v>
      </c>
      <c r="C37" s="16">
        <f t="shared" si="1"/>
        <v>474.23450027615769</v>
      </c>
    </row>
    <row r="38" spans="1:3">
      <c r="A38">
        <v>26</v>
      </c>
      <c r="B38" s="16">
        <v>550</v>
      </c>
      <c r="C38" s="16">
        <f t="shared" si="1"/>
        <v>520.5583188503615</v>
      </c>
    </row>
    <row r="39" spans="1:3">
      <c r="A39">
        <v>27</v>
      </c>
      <c r="B39" s="16">
        <v>600</v>
      </c>
      <c r="C39" s="16">
        <f t="shared" si="1"/>
        <v>571.40710590755441</v>
      </c>
    </row>
    <row r="40" spans="1:3">
      <c r="A40">
        <v>28</v>
      </c>
      <c r="B40" s="16">
        <v>650</v>
      </c>
      <c r="C40" s="16">
        <f t="shared" si="1"/>
        <v>627.22286602340125</v>
      </c>
    </row>
    <row r="41" spans="1:3">
      <c r="A41">
        <v>29</v>
      </c>
      <c r="B41" s="16">
        <v>700</v>
      </c>
      <c r="C41" s="16">
        <f t="shared" si="1"/>
        <v>688.49077933283058</v>
      </c>
    </row>
    <row r="42" spans="1:3">
      <c r="A42">
        <v>30</v>
      </c>
      <c r="B42" s="16">
        <v>800</v>
      </c>
      <c r="C42" s="16">
        <f t="shared" si="1"/>
        <v>755.74341897261615</v>
      </c>
    </row>
    <row r="43" spans="1:3">
      <c r="A43">
        <v>31</v>
      </c>
      <c r="B43" s="16">
        <v>900</v>
      </c>
      <c r="C43" s="16">
        <f t="shared" si="1"/>
        <v>829.56538048901655</v>
      </c>
    </row>
    <row r="44" spans="1:3">
      <c r="A44">
        <v>32</v>
      </c>
      <c r="B44" s="16">
        <v>1000</v>
      </c>
      <c r="C44" s="16">
        <f t="shared" si="1"/>
        <v>910.59836345173983</v>
      </c>
    </row>
    <row r="45" spans="1:3">
      <c r="A45">
        <v>33</v>
      </c>
      <c r="B45" s="16">
        <v>1100</v>
      </c>
      <c r="C45" s="16">
        <f t="shared" si="1"/>
        <v>999.54674944630892</v>
      </c>
    </row>
    <row r="46" spans="1:3">
      <c r="A46">
        <v>34</v>
      </c>
      <c r="B46" s="16">
        <v>1200</v>
      </c>
      <c r="C46" s="16">
        <f t="shared" si="1"/>
        <v>1097.1837249316916</v>
      </c>
    </row>
    <row r="47" spans="1:3">
      <c r="A47">
        <v>35</v>
      </c>
      <c r="B47" s="16">
        <v>1300</v>
      </c>
      <c r="C47" s="16">
        <f t="shared" si="1"/>
        <v>1204.3580021863152</v>
      </c>
    </row>
    <row r="48" spans="1:3">
      <c r="A48">
        <v>36</v>
      </c>
      <c r="B48" s="16">
        <v>1400</v>
      </c>
      <c r="C48" s="16">
        <f t="shared" si="1"/>
        <v>1322.0011967644853</v>
      </c>
    </row>
    <row r="49" spans="1:3">
      <c r="A49">
        <v>37</v>
      </c>
      <c r="B49" s="16">
        <v>1500</v>
      </c>
      <c r="C49" s="16">
        <f t="shared" si="1"/>
        <v>1451.1359255919683</v>
      </c>
    </row>
    <row r="50" spans="1:3">
      <c r="A50">
        <v>38</v>
      </c>
      <c r="B50" s="16">
        <v>1650</v>
      </c>
      <c r="C50" s="16">
        <f t="shared" si="1"/>
        <v>1592.8846960936644</v>
      </c>
    </row>
    <row r="51" spans="1:3">
      <c r="A51">
        <v>39</v>
      </c>
      <c r="B51" s="16">
        <v>1800</v>
      </c>
      <c r="C51" s="16">
        <f t="shared" si="1"/>
        <v>1748.4796636223866</v>
      </c>
    </row>
    <row r="52" spans="1:3">
      <c r="A52">
        <v>40</v>
      </c>
      <c r="B52" s="16">
        <v>2000</v>
      </c>
      <c r="C52" s="16">
        <f t="shared" si="1"/>
        <v>1919.2733420054699</v>
      </c>
    </row>
    <row r="53" spans="1:3">
      <c r="A53">
        <v>41</v>
      </c>
      <c r="B53" s="16">
        <v>2200</v>
      </c>
      <c r="C53" s="16">
        <f t="shared" si="1"/>
        <v>2106.7503603109576</v>
      </c>
    </row>
    <row r="54" spans="1:3">
      <c r="A54">
        <v>42</v>
      </c>
      <c r="B54" s="16">
        <v>2400</v>
      </c>
      <c r="C54" s="16">
        <f t="shared" si="1"/>
        <v>2312.5403680294021</v>
      </c>
    </row>
    <row r="55" spans="1:3">
      <c r="A55">
        <v>43</v>
      </c>
      <c r="B55" s="16">
        <v>2650</v>
      </c>
      <c r="C55" s="16">
        <f t="shared" si="1"/>
        <v>2538.4322008499471</v>
      </c>
    </row>
    <row r="56" spans="1:3">
      <c r="A56">
        <v>44</v>
      </c>
      <c r="B56" s="16">
        <v>2900</v>
      </c>
      <c r="C56" s="16">
        <f t="shared" si="1"/>
        <v>2786.3894301671203</v>
      </c>
    </row>
    <row r="57" spans="1:3">
      <c r="A57">
        <v>45</v>
      </c>
      <c r="B57" s="16">
        <v>3200</v>
      </c>
      <c r="C57" s="16">
        <f t="shared" si="1"/>
        <v>3058.5674314828743</v>
      </c>
    </row>
    <row r="58" spans="1:3">
      <c r="A58">
        <v>46</v>
      </c>
      <c r="B58" s="16">
        <v>3500</v>
      </c>
      <c r="C58" s="16">
        <f t="shared" si="1"/>
        <v>3357.332120071485</v>
      </c>
    </row>
    <row r="59" spans="1:3">
      <c r="A59">
        <v>47</v>
      </c>
      <c r="B59" s="16">
        <v>3800</v>
      </c>
      <c r="C59" s="16">
        <f t="shared" si="1"/>
        <v>3685.2805167675751</v>
      </c>
    </row>
    <row r="60" spans="1:3">
      <c r="A60">
        <v>48</v>
      </c>
      <c r="B60" s="16">
        <v>4200</v>
      </c>
      <c r="C60" s="16">
        <f t="shared" si="1"/>
        <v>4045.2633226460548</v>
      </c>
    </row>
    <row r="61" spans="1:3">
      <c r="A61">
        <v>49</v>
      </c>
      <c r="B61" s="16">
        <v>4600</v>
      </c>
      <c r="C61" s="16">
        <f t="shared" si="1"/>
        <v>4440.4096988249594</v>
      </c>
    </row>
    <row r="62" spans="1:3">
      <c r="A62">
        <v>50</v>
      </c>
      <c r="B62" s="16">
        <v>5000</v>
      </c>
      <c r="C62" s="16">
        <f t="shared" si="1"/>
        <v>4874.1544667904263</v>
      </c>
    </row>
    <row r="63" spans="1:3">
      <c r="A63">
        <v>51</v>
      </c>
      <c r="B63" s="16">
        <v>5500</v>
      </c>
      <c r="C63" s="16">
        <f t="shared" si="1"/>
        <v>5350.2679656834071</v>
      </c>
    </row>
    <row r="64" spans="1:3">
      <c r="A64">
        <v>52</v>
      </c>
      <c r="B64" s="16">
        <v>6000</v>
      </c>
      <c r="C64" s="16">
        <f t="shared" si="1"/>
        <v>5872.8888260834101</v>
      </c>
    </row>
    <row r="65" spans="1:3">
      <c r="A65">
        <v>53</v>
      </c>
      <c r="B65" s="16">
        <v>6600</v>
      </c>
      <c r="C65" s="16">
        <f t="shared" si="1"/>
        <v>6446.5599451764629</v>
      </c>
    </row>
    <row r="66" spans="1:3">
      <c r="A66">
        <v>54</v>
      </c>
      <c r="B66" s="16">
        <v>7200</v>
      </c>
      <c r="C66" s="16">
        <f t="shared" ref="C66:C97" si="2">46.141*EXP(0.0932*A66)</f>
        <v>7076.2679760223473</v>
      </c>
    </row>
    <row r="67" spans="1:3">
      <c r="A67">
        <v>55</v>
      </c>
      <c r="B67" s="16">
        <v>7900</v>
      </c>
      <c r="C67" s="16">
        <f t="shared" si="2"/>
        <v>7767.4866741829073</v>
      </c>
    </row>
    <row r="68" spans="1:3">
      <c r="A68">
        <v>56</v>
      </c>
      <c r="B68" s="16">
        <v>8700</v>
      </c>
      <c r="C68" s="16">
        <f t="shared" si="2"/>
        <v>8526.224478503058</v>
      </c>
    </row>
    <row r="69" spans="1:3">
      <c r="A69">
        <v>57</v>
      </c>
      <c r="B69" s="16">
        <v>9500</v>
      </c>
      <c r="C69" s="16">
        <f t="shared" si="2"/>
        <v>9359.0767396420306</v>
      </c>
    </row>
    <row r="70" spans="1:3">
      <c r="A70">
        <v>58</v>
      </c>
      <c r="B70" s="16">
        <v>10500</v>
      </c>
      <c r="C70" s="16">
        <f t="shared" si="2"/>
        <v>10273.283050352797</v>
      </c>
    </row>
    <row r="71" spans="1:3">
      <c r="A71">
        <v>59</v>
      </c>
      <c r="B71" s="16">
        <v>11500</v>
      </c>
      <c r="C71" s="16">
        <f t="shared" si="2"/>
        <v>11276.790175854752</v>
      </c>
    </row>
    <row r="72" spans="1:3">
      <c r="A72">
        <v>60</v>
      </c>
      <c r="B72" s="16">
        <v>12500</v>
      </c>
      <c r="C72" s="16">
        <f t="shared" si="2"/>
        <v>12378.321131323966</v>
      </c>
    </row>
    <row r="73" spans="1:3">
      <c r="A73">
        <v>61</v>
      </c>
      <c r="B73" s="16">
        <v>13500</v>
      </c>
      <c r="C73" s="16">
        <f t="shared" si="2"/>
        <v>13587.451006958849</v>
      </c>
    </row>
    <row r="74" spans="1:3">
      <c r="A74">
        <v>62</v>
      </c>
      <c r="B74" s="16">
        <v>15000</v>
      </c>
      <c r="C74" s="16">
        <f t="shared" si="2"/>
        <v>14914.690199733141</v>
      </c>
    </row>
    <row r="75" spans="1:3">
      <c r="A75">
        <v>63</v>
      </c>
      <c r="B75" s="16">
        <v>16500</v>
      </c>
      <c r="C75" s="16">
        <f t="shared" si="2"/>
        <v>16371.575775330357</v>
      </c>
    </row>
    <row r="76" spans="1:3">
      <c r="A76">
        <v>64</v>
      </c>
      <c r="B76" s="16">
        <v>18000</v>
      </c>
      <c r="C76" s="16">
        <f t="shared" si="2"/>
        <v>17970.771754426365</v>
      </c>
    </row>
    <row r="77" spans="1:3">
      <c r="A77">
        <v>65</v>
      </c>
      <c r="B77" s="16">
        <v>20000</v>
      </c>
      <c r="C77" s="16">
        <f t="shared" si="2"/>
        <v>19726.17919506113</v>
      </c>
    </row>
    <row r="78" spans="1:3">
      <c r="A78">
        <v>66</v>
      </c>
      <c r="B78" s="16">
        <v>22000</v>
      </c>
      <c r="C78" s="16">
        <f t="shared" si="2"/>
        <v>21653.05702799424</v>
      </c>
    </row>
    <row r="79" spans="1:3">
      <c r="A79">
        <v>67</v>
      </c>
      <c r="B79" s="16">
        <v>24000</v>
      </c>
      <c r="C79" s="16">
        <f t="shared" si="2"/>
        <v>23768.154695408986</v>
      </c>
    </row>
    <row r="80" spans="1:3">
      <c r="A80">
        <v>68</v>
      </c>
      <c r="B80" s="16">
        <v>26000</v>
      </c>
      <c r="C80" s="16">
        <f t="shared" si="2"/>
        <v>26089.85774593056</v>
      </c>
    </row>
    <row r="81" spans="1:3">
      <c r="A81">
        <v>69</v>
      </c>
      <c r="B81" s="16">
        <v>28500</v>
      </c>
      <c r="C81" s="16">
        <f t="shared" si="2"/>
        <v>28638.347651547912</v>
      </c>
    </row>
    <row r="82" spans="1:3">
      <c r="A82">
        <v>70</v>
      </c>
      <c r="B82" s="16">
        <v>31000</v>
      </c>
      <c r="C82" s="16">
        <f t="shared" si="2"/>
        <v>31435.777235651851</v>
      </c>
    </row>
    <row r="83" spans="1:3">
      <c r="A83">
        <v>71</v>
      </c>
      <c r="B83" s="16">
        <v>34000</v>
      </c>
      <c r="C83" s="16">
        <f t="shared" si="2"/>
        <v>34506.463237103526</v>
      </c>
    </row>
    <row r="84" spans="1:3">
      <c r="A84">
        <v>72</v>
      </c>
      <c r="B84" s="16">
        <v>37500</v>
      </c>
      <c r="C84" s="16">
        <f t="shared" si="2"/>
        <v>37877.097684201282</v>
      </c>
    </row>
    <row r="85" spans="1:3">
      <c r="A85">
        <v>73</v>
      </c>
      <c r="B85" s="16">
        <v>41000</v>
      </c>
      <c r="C85" s="16">
        <f t="shared" si="2"/>
        <v>41576.979915921227</v>
      </c>
    </row>
    <row r="86" spans="1:3">
      <c r="A86">
        <v>74</v>
      </c>
      <c r="B86" s="16">
        <v>45000</v>
      </c>
      <c r="C86" s="16">
        <f t="shared" si="2"/>
        <v>45638.271267281998</v>
      </c>
    </row>
    <row r="87" spans="1:3">
      <c r="A87">
        <v>75</v>
      </c>
      <c r="B87" s="16">
        <v>49000</v>
      </c>
      <c r="C87" s="16">
        <f t="shared" si="2"/>
        <v>50096.274632694563</v>
      </c>
    </row>
    <row r="88" spans="1:3">
      <c r="A88">
        <v>76</v>
      </c>
      <c r="B88" s="16">
        <v>54000</v>
      </c>
      <c r="C88" s="16">
        <f t="shared" si="2"/>
        <v>54989.741337409367</v>
      </c>
    </row>
    <row r="89" spans="1:3">
      <c r="A89">
        <v>77</v>
      </c>
      <c r="B89" s="16">
        <v>59500</v>
      </c>
      <c r="C89" s="16">
        <f t="shared" si="2"/>
        <v>60361.207984549466</v>
      </c>
    </row>
    <row r="90" spans="1:3">
      <c r="A90">
        <v>78</v>
      </c>
      <c r="B90" s="16">
        <v>65000</v>
      </c>
      <c r="C90" s="16">
        <f t="shared" si="2"/>
        <v>66257.366205783459</v>
      </c>
    </row>
    <row r="91" spans="1:3">
      <c r="A91">
        <v>79</v>
      </c>
      <c r="B91" s="16">
        <v>71000</v>
      </c>
      <c r="C91" s="16">
        <f t="shared" si="2"/>
        <v>72729.468529705395</v>
      </c>
    </row>
    <row r="92" spans="1:3">
      <c r="A92">
        <v>80</v>
      </c>
      <c r="B92" s="16">
        <v>78000</v>
      </c>
      <c r="C92" s="16">
        <f t="shared" si="2"/>
        <v>79833.773895946026</v>
      </c>
    </row>
    <row r="93" spans="1:3">
      <c r="A93">
        <v>81</v>
      </c>
      <c r="B93" s="16">
        <v>85500</v>
      </c>
      <c r="C93" s="16">
        <f t="shared" si="2"/>
        <v>87632.036687658285</v>
      </c>
    </row>
    <row r="94" spans="1:3">
      <c r="A94">
        <v>82</v>
      </c>
      <c r="B94" s="16">
        <v>93500</v>
      </c>
      <c r="C94" s="16">
        <f t="shared" si="2"/>
        <v>96192.043533307689</v>
      </c>
    </row>
    <row r="95" spans="1:3">
      <c r="A95">
        <v>83</v>
      </c>
      <c r="B95" s="16">
        <v>102500</v>
      </c>
      <c r="C95" s="16">
        <f t="shared" si="2"/>
        <v>105588.20254393229</v>
      </c>
    </row>
    <row r="96" spans="1:3">
      <c r="A96">
        <v>84</v>
      </c>
      <c r="B96" s="16">
        <v>112500</v>
      </c>
      <c r="C96" s="16">
        <f t="shared" si="2"/>
        <v>115902.19010783387</v>
      </c>
    </row>
    <row r="97" spans="1:3">
      <c r="A97">
        <v>85</v>
      </c>
      <c r="B97" s="16">
        <v>123000</v>
      </c>
      <c r="C97" s="16">
        <f t="shared" si="2"/>
        <v>127223.66086498396</v>
      </c>
    </row>
    <row r="98" spans="1:3">
      <c r="A98">
        <v>86</v>
      </c>
      <c r="B98" s="16">
        <v>135000</v>
      </c>
      <c r="C98" s="16">
        <f t="shared" ref="C98:C112" si="3">46.141*EXP(0.0932*A98)</f>
        <v>139651.02703261538</v>
      </c>
    </row>
    <row r="99" spans="1:3">
      <c r="A99">
        <v>87</v>
      </c>
      <c r="B99" s="16">
        <v>148000</v>
      </c>
      <c r="C99" s="16">
        <f t="shared" si="3"/>
        <v>153292.31385631318</v>
      </c>
    </row>
    <row r="100" spans="1:3">
      <c r="A100">
        <v>88</v>
      </c>
      <c r="B100" s="16">
        <v>162500</v>
      </c>
      <c r="C100" s="16">
        <f t="shared" si="3"/>
        <v>168266.09862263603</v>
      </c>
    </row>
    <row r="101" spans="1:3">
      <c r="A101">
        <v>89</v>
      </c>
      <c r="B101" s="16">
        <v>178000</v>
      </c>
      <c r="C101" s="16">
        <f t="shared" si="3"/>
        <v>184702.54139566282</v>
      </c>
    </row>
    <row r="102" spans="1:3">
      <c r="A102">
        <v>90</v>
      </c>
      <c r="B102" s="16">
        <v>195000</v>
      </c>
      <c r="C102" s="16">
        <f t="shared" si="3"/>
        <v>202744.51643717621</v>
      </c>
    </row>
    <row r="103" spans="1:3">
      <c r="A103">
        <v>91</v>
      </c>
      <c r="B103" s="16">
        <v>215000</v>
      </c>
      <c r="C103" s="16">
        <f t="shared" si="3"/>
        <v>222548.85414538052</v>
      </c>
    </row>
    <row r="104" spans="1:3">
      <c r="A104">
        <v>92</v>
      </c>
      <c r="B104" s="16">
        <v>235000</v>
      </c>
      <c r="C104" s="16">
        <f t="shared" si="3"/>
        <v>244287.70430774565</v>
      </c>
    </row>
    <row r="105" spans="1:3">
      <c r="A105">
        <v>93</v>
      </c>
      <c r="B105" s="16">
        <v>255000</v>
      </c>
      <c r="C105" s="16">
        <f t="shared" si="3"/>
        <v>268150.03251809505</v>
      </c>
    </row>
    <row r="106" spans="1:3">
      <c r="A106">
        <v>94</v>
      </c>
      <c r="B106" s="16">
        <v>280000</v>
      </c>
      <c r="C106" s="16">
        <f t="shared" si="3"/>
        <v>294343.26276558131</v>
      </c>
    </row>
    <row r="107" spans="1:3">
      <c r="A107">
        <v>95</v>
      </c>
      <c r="B107" s="16">
        <v>305000</v>
      </c>
      <c r="C107" s="16">
        <f t="shared" si="3"/>
        <v>323095.08047380822</v>
      </c>
    </row>
    <row r="108" spans="1:3">
      <c r="A108">
        <v>96</v>
      </c>
      <c r="B108" s="16">
        <v>335000</v>
      </c>
      <c r="C108" s="16">
        <f t="shared" si="3"/>
        <v>354655.41166306328</v>
      </c>
    </row>
    <row r="109" spans="1:3">
      <c r="A109">
        <v>97</v>
      </c>
      <c r="B109" s="16">
        <v>365000</v>
      </c>
      <c r="C109" s="16">
        <f t="shared" si="3"/>
        <v>389298.59543959622</v>
      </c>
    </row>
    <row r="110" spans="1:3">
      <c r="A110">
        <v>98</v>
      </c>
      <c r="B110" s="16">
        <v>400000</v>
      </c>
      <c r="C110" s="16">
        <f t="shared" si="3"/>
        <v>427325.76869636052</v>
      </c>
    </row>
    <row r="111" spans="1:3">
      <c r="A111">
        <v>99</v>
      </c>
      <c r="B111" s="16">
        <v>440000</v>
      </c>
      <c r="C111" s="16">
        <f t="shared" si="3"/>
        <v>469067.48375430109</v>
      </c>
    </row>
    <row r="112" spans="1:3">
      <c r="A112">
        <v>100</v>
      </c>
      <c r="B112" s="16">
        <v>480000</v>
      </c>
      <c r="C112" s="16">
        <f t="shared" si="3"/>
        <v>514886.58169812243</v>
      </c>
    </row>
  </sheetData>
  <sheetProtection selectLockedCells="1" selectUnlockedCells="1"/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2" sqref="B2"/>
    </sheetView>
  </sheetViews>
  <sheetFormatPr baseColWidth="10" defaultRowHeight="15"/>
  <cols>
    <col min="1" max="1" width="18.28515625" customWidth="1"/>
    <col min="2" max="2" width="16.28515625" customWidth="1"/>
    <col min="3" max="3" width="11.42578125" customWidth="1"/>
    <col min="4" max="4" width="18.42578125" customWidth="1"/>
  </cols>
  <sheetData>
    <row r="1" spans="1:4" ht="18.75">
      <c r="A1" s="51" t="str">
        <f>'I. techn. Bewertung'!A9</f>
        <v>1. Onpage: a. User-Menge pro Jahr</v>
      </c>
    </row>
    <row r="3" spans="1:4">
      <c r="A3" s="2" t="s">
        <v>224</v>
      </c>
    </row>
    <row r="4" spans="1:4">
      <c r="A4" t="s">
        <v>147</v>
      </c>
      <c r="B4" t="s">
        <v>205</v>
      </c>
      <c r="D4">
        <v>1</v>
      </c>
    </row>
    <row r="5" spans="1:4">
      <c r="A5" t="s">
        <v>145</v>
      </c>
      <c r="B5" t="s">
        <v>223</v>
      </c>
      <c r="D5">
        <v>4.6000000000000002E-8</v>
      </c>
    </row>
    <row r="7" spans="1:4">
      <c r="B7" s="26" t="s">
        <v>223</v>
      </c>
      <c r="C7" s="182" t="s">
        <v>210</v>
      </c>
      <c r="D7" s="26" t="s">
        <v>286</v>
      </c>
    </row>
    <row r="8" spans="1:4">
      <c r="A8" t="s">
        <v>214</v>
      </c>
      <c r="B8" s="59">
        <v>1</v>
      </c>
      <c r="C8" s="60">
        <v>1</v>
      </c>
      <c r="D8">
        <f>$D$4*EXP($D$5*B8)</f>
        <v>1.0000000460000011</v>
      </c>
    </row>
    <row r="9" spans="1:4">
      <c r="A9" t="s">
        <v>215</v>
      </c>
      <c r="B9" s="59">
        <v>50000000</v>
      </c>
      <c r="C9" s="60">
        <v>10</v>
      </c>
      <c r="D9">
        <f t="shared" ref="D9" si="0">$D$4*EXP($D$5*B9)</f>
        <v>9.9741824548147235</v>
      </c>
    </row>
    <row r="10" spans="1:4">
      <c r="B10" s="59"/>
      <c r="C10" s="60"/>
    </row>
    <row r="11" spans="1:4">
      <c r="A11" s="57"/>
      <c r="B11" s="59"/>
    </row>
    <row r="12" spans="1:4">
      <c r="A12" s="79" t="s">
        <v>194</v>
      </c>
      <c r="B12" s="61">
        <f>$D$4*EXP($D$5*'I. techn. Bewertung'!C11)</f>
        <v>1.0470744109569372</v>
      </c>
    </row>
    <row r="13" spans="1:4">
      <c r="A13" s="44"/>
      <c r="B13" s="59"/>
    </row>
    <row r="14" spans="1:4">
      <c r="A14" s="79" t="s">
        <v>195</v>
      </c>
      <c r="B14" s="61">
        <f>$D$4*EXP($D$5*'I. techn. Bewertung'!C12)</f>
        <v>1.0470744109569372</v>
      </c>
    </row>
    <row r="15" spans="1:4">
      <c r="A15" s="44"/>
      <c r="B15" s="59"/>
    </row>
    <row r="16" spans="1:4">
      <c r="A16" s="79" t="s">
        <v>196</v>
      </c>
      <c r="B16" s="61">
        <f>D$26*EXP($D$27*'I. techn. Bewertung'!C13)</f>
        <v>1.0027638123065152</v>
      </c>
    </row>
    <row r="17" spans="1:8">
      <c r="A17" s="57"/>
      <c r="B17" s="59"/>
    </row>
    <row r="18" spans="1:8">
      <c r="A18" s="57"/>
      <c r="B18" s="59"/>
    </row>
    <row r="19" spans="1:8">
      <c r="A19" s="57"/>
      <c r="B19" s="59"/>
    </row>
    <row r="20" spans="1:8">
      <c r="A20" s="57"/>
      <c r="B20" s="59"/>
      <c r="G20" s="16"/>
      <c r="H20" s="16"/>
    </row>
    <row r="21" spans="1:8">
      <c r="A21" s="57"/>
      <c r="B21" s="59"/>
      <c r="G21" s="59"/>
      <c r="H21" s="57"/>
    </row>
    <row r="22" spans="1:8">
      <c r="A22" s="57"/>
      <c r="B22" s="59"/>
      <c r="G22" s="59"/>
      <c r="H22" s="57"/>
    </row>
    <row r="23" spans="1:8">
      <c r="A23" s="57"/>
      <c r="B23" s="59"/>
      <c r="G23" s="59"/>
      <c r="H23" s="57"/>
    </row>
    <row r="24" spans="1:8">
      <c r="A24" s="57"/>
      <c r="B24" s="59"/>
      <c r="G24" s="59"/>
      <c r="H24" s="57"/>
    </row>
    <row r="25" spans="1:8">
      <c r="A25" s="2" t="s">
        <v>225</v>
      </c>
      <c r="G25" s="59"/>
      <c r="H25" s="57"/>
    </row>
    <row r="26" spans="1:8">
      <c r="A26" t="s">
        <v>147</v>
      </c>
      <c r="B26" t="s">
        <v>205</v>
      </c>
      <c r="D26">
        <v>1</v>
      </c>
      <c r="G26" s="58"/>
      <c r="H26" s="57"/>
    </row>
    <row r="27" spans="1:8">
      <c r="A27" t="s">
        <v>145</v>
      </c>
      <c r="B27" t="s">
        <v>226</v>
      </c>
      <c r="D27">
        <v>2.2999999999999999E-9</v>
      </c>
    </row>
    <row r="29" spans="1:8">
      <c r="B29" s="26" t="s">
        <v>226</v>
      </c>
      <c r="C29" s="182" t="s">
        <v>210</v>
      </c>
      <c r="D29" s="26" t="s">
        <v>286</v>
      </c>
    </row>
    <row r="30" spans="1:8">
      <c r="A30" t="s">
        <v>214</v>
      </c>
      <c r="B30" s="59">
        <v>1</v>
      </c>
      <c r="C30" s="60">
        <v>1</v>
      </c>
      <c r="D30">
        <f>D26*EXP(D27*B30)</f>
        <v>1.0000000023</v>
      </c>
    </row>
    <row r="31" spans="1:8">
      <c r="A31" t="s">
        <v>215</v>
      </c>
      <c r="B31" s="59">
        <v>1000000000</v>
      </c>
      <c r="C31" s="60">
        <v>10</v>
      </c>
      <c r="D31">
        <f>D26*EXP(D27*B31)</f>
        <v>9.9741824548147182</v>
      </c>
    </row>
  </sheetData>
  <pageMargins left="0.7" right="0.7" top="0.78740157499999996" bottom="0.78740157499999996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74"/>
  <sheetViews>
    <sheetView workbookViewId="0">
      <selection activeCell="L33" sqref="L33"/>
    </sheetView>
  </sheetViews>
  <sheetFormatPr baseColWidth="10" defaultRowHeight="15"/>
  <cols>
    <col min="2" max="2" width="16.28515625" customWidth="1"/>
    <col min="3" max="3" width="11.42578125" customWidth="1"/>
    <col min="4" max="4" width="18.42578125" customWidth="1"/>
  </cols>
  <sheetData>
    <row r="1" spans="1:4" ht="18.75">
      <c r="A1" s="51" t="str">
        <f>'I. techn. Bewertung'!A32:F32</f>
        <v>2. Onpage-Bewertungsfaktor: a. onpage.org - Fertigstellung</v>
      </c>
    </row>
    <row r="3" spans="1:4">
      <c r="A3" s="39" t="s">
        <v>211</v>
      </c>
    </row>
    <row r="4" spans="1:4">
      <c r="A4" t="s">
        <v>147</v>
      </c>
      <c r="B4" t="s">
        <v>205</v>
      </c>
      <c r="D4">
        <v>0.17530000000000001</v>
      </c>
    </row>
    <row r="5" spans="1:4">
      <c r="A5" t="s">
        <v>145</v>
      </c>
      <c r="B5" s="11" t="s">
        <v>287</v>
      </c>
    </row>
    <row r="7" spans="1:4">
      <c r="B7" s="38" t="s">
        <v>287</v>
      </c>
      <c r="C7" s="182" t="s">
        <v>210</v>
      </c>
      <c r="D7" s="26" t="s">
        <v>286</v>
      </c>
    </row>
    <row r="8" spans="1:4">
      <c r="A8" t="s">
        <v>214</v>
      </c>
      <c r="B8" s="64">
        <v>1</v>
      </c>
      <c r="C8" s="60">
        <v>1E-4</v>
      </c>
      <c r="D8">
        <f>D4*LN(B8)</f>
        <v>0</v>
      </c>
    </row>
    <row r="9" spans="1:4">
      <c r="A9" t="s">
        <v>215</v>
      </c>
      <c r="B9" s="59">
        <v>300</v>
      </c>
      <c r="C9" s="60">
        <v>1</v>
      </c>
      <c r="D9">
        <f>D4*LN(B9)</f>
        <v>0.99987306780723206</v>
      </c>
    </row>
    <row r="10" spans="1:4">
      <c r="B10" s="59">
        <f>('I. techn. Bewertung'!C34+'I. techn. Bewertung'!C35+'I. techn. Bewertung'!C36)*100</f>
        <v>219</v>
      </c>
      <c r="C10" s="60"/>
    </row>
    <row r="11" spans="1:4">
      <c r="A11" s="57"/>
      <c r="B11" s="59"/>
    </row>
    <row r="12" spans="1:4">
      <c r="A12" s="57"/>
      <c r="B12" s="86">
        <f>D4*LN(B10)</f>
        <v>0.94470427423683268</v>
      </c>
    </row>
    <row r="13" spans="1:4">
      <c r="A13" s="57"/>
      <c r="B13" s="59"/>
    </row>
    <row r="14" spans="1:4">
      <c r="A14" s="57"/>
      <c r="B14" s="59"/>
    </row>
    <row r="15" spans="1:4">
      <c r="A15" s="57"/>
      <c r="B15" s="59"/>
    </row>
    <row r="16" spans="1:4">
      <c r="A16" s="57"/>
      <c r="B16" s="59"/>
    </row>
    <row r="17" spans="1:8">
      <c r="A17" s="57"/>
      <c r="B17" s="59"/>
    </row>
    <row r="18" spans="1:8">
      <c r="A18" s="57"/>
      <c r="B18" s="59"/>
    </row>
    <row r="19" spans="1:8">
      <c r="A19" s="57"/>
      <c r="B19" s="59"/>
    </row>
    <row r="20" spans="1:8">
      <c r="A20" s="57"/>
      <c r="B20" s="59"/>
      <c r="G20" s="16"/>
      <c r="H20" s="16"/>
    </row>
    <row r="21" spans="1:8">
      <c r="A21" s="57"/>
      <c r="B21" s="59"/>
      <c r="G21" s="59"/>
      <c r="H21" s="57"/>
    </row>
    <row r="22" spans="1:8">
      <c r="A22" s="57"/>
      <c r="B22" s="59"/>
      <c r="G22" s="59"/>
      <c r="H22" s="57"/>
    </row>
    <row r="23" spans="1:8">
      <c r="A23" s="57"/>
      <c r="B23" s="59"/>
      <c r="G23" s="59"/>
      <c r="H23" s="57"/>
    </row>
    <row r="24" spans="1:8">
      <c r="A24" s="57"/>
      <c r="B24" s="59"/>
      <c r="G24" s="59"/>
      <c r="H24" s="57"/>
    </row>
    <row r="25" spans="1:8">
      <c r="A25" s="57"/>
      <c r="B25" s="59"/>
      <c r="G25" s="59"/>
      <c r="H25" s="57"/>
    </row>
    <row r="26" spans="1:8">
      <c r="A26" s="57"/>
      <c r="B26" s="59"/>
      <c r="G26" s="59"/>
      <c r="H26" s="57"/>
    </row>
    <row r="27" spans="1:8">
      <c r="A27" s="57"/>
      <c r="B27" s="59"/>
      <c r="G27" s="59"/>
      <c r="H27" s="57"/>
    </row>
    <row r="28" spans="1:8">
      <c r="A28" s="57"/>
      <c r="B28" s="59"/>
      <c r="G28" s="59"/>
      <c r="H28" s="57"/>
    </row>
    <row r="29" spans="1:8">
      <c r="A29" s="57"/>
      <c r="B29" s="59"/>
      <c r="G29" s="59"/>
      <c r="H29" s="57"/>
    </row>
    <row r="30" spans="1:8">
      <c r="A30" s="57"/>
      <c r="B30" s="59"/>
      <c r="G30" s="59"/>
      <c r="H30" s="57"/>
    </row>
    <row r="31" spans="1:8">
      <c r="A31" s="57"/>
      <c r="B31" s="59"/>
      <c r="G31" s="59"/>
      <c r="H31" s="57"/>
    </row>
    <row r="32" spans="1:8">
      <c r="A32" s="57"/>
      <c r="B32" s="59"/>
      <c r="G32" s="59"/>
      <c r="H32" s="57"/>
    </row>
    <row r="33" spans="1:8">
      <c r="A33" s="57"/>
      <c r="B33" s="59"/>
      <c r="G33" s="59"/>
      <c r="H33" s="57"/>
    </row>
    <row r="34" spans="1:8">
      <c r="A34" s="57"/>
      <c r="B34" s="59"/>
      <c r="G34" s="59"/>
      <c r="H34" s="57"/>
    </row>
    <row r="35" spans="1:8">
      <c r="A35" s="57"/>
      <c r="B35" s="59"/>
      <c r="G35" s="59"/>
      <c r="H35" s="57"/>
    </row>
    <row r="36" spans="1:8">
      <c r="A36" s="57"/>
      <c r="B36" s="59"/>
      <c r="G36" s="59"/>
      <c r="H36" s="57"/>
    </row>
    <row r="37" spans="1:8">
      <c r="A37" s="57"/>
      <c r="B37" s="59"/>
      <c r="G37" s="59"/>
      <c r="H37" s="57"/>
    </row>
    <row r="38" spans="1:8">
      <c r="A38" s="57"/>
      <c r="B38" s="59"/>
      <c r="G38" s="59"/>
      <c r="H38" s="57"/>
    </row>
    <row r="39" spans="1:8">
      <c r="A39" s="57"/>
      <c r="B39" s="59"/>
      <c r="G39" s="59"/>
      <c r="H39" s="57"/>
    </row>
    <row r="40" spans="1:8">
      <c r="A40" s="57"/>
      <c r="B40" s="59"/>
      <c r="G40" s="59"/>
      <c r="H40" s="57"/>
    </row>
    <row r="41" spans="1:8">
      <c r="A41" s="57"/>
      <c r="B41" s="59"/>
      <c r="G41" s="59"/>
      <c r="H41" s="57"/>
    </row>
    <row r="42" spans="1:8">
      <c r="A42" s="58" t="s">
        <v>237</v>
      </c>
      <c r="B42" s="59"/>
      <c r="G42" s="59"/>
      <c r="H42" s="57"/>
    </row>
    <row r="43" spans="1:8">
      <c r="A43" s="57"/>
      <c r="B43" s="59"/>
      <c r="G43" s="59"/>
      <c r="H43" s="57"/>
    </row>
    <row r="44" spans="1:8">
      <c r="A44" s="57"/>
      <c r="B44" s="59"/>
      <c r="G44" s="58"/>
      <c r="H44" s="57"/>
    </row>
    <row r="45" spans="1:8">
      <c r="A45" s="57"/>
      <c r="B45" s="59"/>
    </row>
    <row r="46" spans="1:8">
      <c r="B46" s="59"/>
    </row>
    <row r="47" spans="1:8">
      <c r="A47" s="39" t="s">
        <v>212</v>
      </c>
    </row>
    <row r="48" spans="1:8">
      <c r="A48" t="s">
        <v>147</v>
      </c>
      <c r="B48" t="s">
        <v>205</v>
      </c>
      <c r="D48">
        <v>0.1</v>
      </c>
    </row>
    <row r="49" spans="1:4">
      <c r="A49" t="s">
        <v>145</v>
      </c>
      <c r="B49" s="66" t="s">
        <v>212</v>
      </c>
      <c r="D49">
        <v>4.6999999999999997E-5</v>
      </c>
    </row>
    <row r="50" spans="1:4">
      <c r="C50" t="s">
        <v>228</v>
      </c>
      <c r="D50" t="e">
        <f>(Übersicht!#REF!)/B53</f>
        <v>#REF!</v>
      </c>
    </row>
    <row r="51" spans="1:4">
      <c r="B51" s="66" t="s">
        <v>212</v>
      </c>
      <c r="C51" s="16" t="s">
        <v>210</v>
      </c>
      <c r="D51" t="s">
        <v>206</v>
      </c>
    </row>
    <row r="52" spans="1:4">
      <c r="A52" t="s">
        <v>214</v>
      </c>
      <c r="B52" s="65">
        <v>0.01</v>
      </c>
      <c r="C52" s="60">
        <v>0.1</v>
      </c>
      <c r="D52">
        <f>$D$48*EXP($D$49*B52)</f>
        <v>0.10000004700001104</v>
      </c>
    </row>
    <row r="53" spans="1:4">
      <c r="A53" t="s">
        <v>215</v>
      </c>
      <c r="B53" s="59">
        <v>100000</v>
      </c>
      <c r="C53" s="60">
        <v>10</v>
      </c>
      <c r="D53">
        <f>$D$48*EXP($D$49*B53)</f>
        <v>10.994717245212343</v>
      </c>
    </row>
    <row r="68" spans="1:4">
      <c r="A68" s="39" t="s">
        <v>213</v>
      </c>
    </row>
    <row r="69" spans="1:4">
      <c r="A69" t="s">
        <v>147</v>
      </c>
      <c r="B69" t="s">
        <v>205</v>
      </c>
      <c r="D69">
        <v>0.1</v>
      </c>
    </row>
    <row r="70" spans="1:4">
      <c r="A70" t="s">
        <v>145</v>
      </c>
      <c r="B70" s="66" t="s">
        <v>213</v>
      </c>
      <c r="D70">
        <v>4.6100000000000002E-2</v>
      </c>
    </row>
    <row r="71" spans="1:4">
      <c r="C71" t="s">
        <v>228</v>
      </c>
      <c r="D71" t="e">
        <f>(Übersicht!#REF!)/B74</f>
        <v>#REF!</v>
      </c>
    </row>
    <row r="72" spans="1:4">
      <c r="B72" s="66" t="s">
        <v>213</v>
      </c>
      <c r="C72" s="16" t="s">
        <v>210</v>
      </c>
      <c r="D72" t="s">
        <v>206</v>
      </c>
    </row>
    <row r="73" spans="1:4">
      <c r="A73" t="s">
        <v>214</v>
      </c>
      <c r="B73" s="65">
        <v>0.01</v>
      </c>
      <c r="C73" s="60">
        <v>0.1</v>
      </c>
      <c r="D73">
        <f>$D$48*EXP($D$49*B73)</f>
        <v>0.10000004700001104</v>
      </c>
    </row>
    <row r="74" spans="1:4">
      <c r="A74" t="s">
        <v>218</v>
      </c>
      <c r="B74">
        <v>100</v>
      </c>
      <c r="C74">
        <v>10</v>
      </c>
      <c r="D74">
        <f>$D$48*EXP($D$49*B74)</f>
        <v>0.10047110623241845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85"/>
  <sheetViews>
    <sheetView workbookViewId="0">
      <selection activeCell="P27" sqref="P27"/>
    </sheetView>
  </sheetViews>
  <sheetFormatPr baseColWidth="10" defaultRowHeight="15"/>
  <cols>
    <col min="2" max="2" width="16.28515625" customWidth="1"/>
    <col min="3" max="3" width="11.42578125" customWidth="1"/>
    <col min="4" max="4" width="18.42578125" customWidth="1"/>
  </cols>
  <sheetData>
    <row r="1" spans="1:4" ht="18.75">
      <c r="A1" s="51" t="str">
        <f>'I. techn. Bewertung'!A39</f>
        <v>3. Offpage: a. Backlinks</v>
      </c>
    </row>
    <row r="3" spans="1:4">
      <c r="A3" s="67" t="s">
        <v>200</v>
      </c>
    </row>
    <row r="4" spans="1:4">
      <c r="A4" t="s">
        <v>147</v>
      </c>
      <c r="B4" t="s">
        <v>205</v>
      </c>
      <c r="D4">
        <v>0.71660000000000001</v>
      </c>
    </row>
    <row r="5" spans="1:4">
      <c r="A5" t="s">
        <v>145</v>
      </c>
      <c r="B5" s="63" t="s">
        <v>200</v>
      </c>
    </row>
    <row r="6" spans="1:4">
      <c r="B6" s="11"/>
    </row>
    <row r="7" spans="1:4">
      <c r="B7" s="183" t="s">
        <v>200</v>
      </c>
      <c r="C7" s="182" t="s">
        <v>210</v>
      </c>
      <c r="D7" s="26" t="s">
        <v>286</v>
      </c>
    </row>
    <row r="8" spans="1:4">
      <c r="A8" t="s">
        <v>214</v>
      </c>
      <c r="B8" s="64">
        <v>1</v>
      </c>
      <c r="C8" s="60">
        <v>0.1</v>
      </c>
      <c r="D8">
        <f>$D$4*LN(B8)</f>
        <v>0</v>
      </c>
    </row>
    <row r="9" spans="1:4">
      <c r="A9" t="s">
        <v>215</v>
      </c>
      <c r="B9" s="59">
        <v>1000000</v>
      </c>
      <c r="C9" s="60">
        <v>10</v>
      </c>
      <c r="D9">
        <f>$D$4*LN(B9)</f>
        <v>9.9001948658371983</v>
      </c>
    </row>
    <row r="10" spans="1:4">
      <c r="B10" s="59"/>
      <c r="C10" s="60"/>
    </row>
    <row r="11" spans="1:4">
      <c r="A11" s="57"/>
      <c r="B11" s="59"/>
    </row>
    <row r="12" spans="1:4">
      <c r="A12" s="58" t="s">
        <v>238</v>
      </c>
      <c r="B12" s="59"/>
    </row>
    <row r="13" spans="1:4">
      <c r="A13" s="57"/>
      <c r="B13" s="59"/>
    </row>
    <row r="14" spans="1:4">
      <c r="A14" s="80" t="s">
        <v>200</v>
      </c>
      <c r="B14" s="61">
        <f>$D$4*LN('I. techn. Bewertung'!C41)</f>
        <v>5.0978609481150201</v>
      </c>
    </row>
    <row r="15" spans="1:4">
      <c r="A15" s="44"/>
      <c r="B15" s="59"/>
    </row>
    <row r="16" spans="1:4">
      <c r="A16" s="80" t="s">
        <v>201</v>
      </c>
      <c r="B16" s="61">
        <f>$D$30*LN('I. techn. Bewertung'!C42)</f>
        <v>4.8298614668834849</v>
      </c>
    </row>
    <row r="17" spans="1:8">
      <c r="A17" s="44"/>
      <c r="B17" s="59"/>
    </row>
    <row r="18" spans="1:8">
      <c r="A18" s="80" t="s">
        <v>202</v>
      </c>
      <c r="B18" s="61">
        <f>$D$51*LN('I. techn. Bewertung'!C43)</f>
        <v>4.6836494658958596</v>
      </c>
    </row>
    <row r="19" spans="1:8">
      <c r="A19" s="54"/>
      <c r="B19" s="59"/>
    </row>
    <row r="20" spans="1:8">
      <c r="A20" s="80" t="s">
        <v>203</v>
      </c>
      <c r="B20" s="61">
        <f>$D$78*LN('I. techn. Bewertung'!C44)</f>
        <v>4.6786473281392436</v>
      </c>
      <c r="G20" s="16"/>
      <c r="H20" s="16"/>
    </row>
    <row r="21" spans="1:8">
      <c r="A21" s="54"/>
      <c r="B21" s="59"/>
      <c r="G21" s="59"/>
      <c r="H21" s="57"/>
    </row>
    <row r="22" spans="1:8">
      <c r="A22" s="54"/>
      <c r="B22" s="59"/>
      <c r="G22" s="59"/>
      <c r="H22" s="57"/>
    </row>
    <row r="23" spans="1:8">
      <c r="A23" s="57"/>
      <c r="B23" s="59"/>
      <c r="G23" s="59"/>
      <c r="H23" s="57"/>
    </row>
    <row r="24" spans="1:8">
      <c r="A24" s="57"/>
      <c r="B24" s="59"/>
      <c r="G24" s="59"/>
      <c r="H24" s="57"/>
    </row>
    <row r="25" spans="1:8">
      <c r="A25" s="57"/>
      <c r="B25" s="59"/>
      <c r="G25" s="59"/>
      <c r="H25" s="57"/>
    </row>
    <row r="26" spans="1:8">
      <c r="A26" s="57"/>
      <c r="B26" s="59"/>
      <c r="G26" s="58"/>
      <c r="H26" s="57"/>
    </row>
    <row r="27" spans="1:8">
      <c r="A27" s="57"/>
      <c r="B27" s="59"/>
    </row>
    <row r="28" spans="1:8">
      <c r="B28" s="59"/>
    </row>
    <row r="29" spans="1:8">
      <c r="A29" s="39" t="s">
        <v>201</v>
      </c>
    </row>
    <row r="30" spans="1:8">
      <c r="A30" t="s">
        <v>147</v>
      </c>
      <c r="B30" t="s">
        <v>205</v>
      </c>
      <c r="D30">
        <v>0.8599</v>
      </c>
    </row>
    <row r="31" spans="1:8">
      <c r="A31" t="s">
        <v>145</v>
      </c>
      <c r="B31" s="66" t="s">
        <v>201</v>
      </c>
    </row>
    <row r="33" spans="1:4">
      <c r="B33" s="148" t="s">
        <v>201</v>
      </c>
      <c r="C33" s="182" t="s">
        <v>210</v>
      </c>
      <c r="D33" s="26" t="s">
        <v>286</v>
      </c>
    </row>
    <row r="34" spans="1:4">
      <c r="A34" t="s">
        <v>214</v>
      </c>
      <c r="B34" s="65">
        <v>1</v>
      </c>
      <c r="C34" s="60">
        <v>0.1</v>
      </c>
      <c r="D34">
        <f>$D$30*LN(B34)</f>
        <v>0</v>
      </c>
    </row>
    <row r="35" spans="1:4">
      <c r="A35" t="s">
        <v>215</v>
      </c>
      <c r="B35" s="59">
        <v>100000</v>
      </c>
      <c r="C35" s="60">
        <v>10</v>
      </c>
      <c r="D35">
        <f>$D$30*LN(B35)</f>
        <v>9.8999646073278988</v>
      </c>
    </row>
    <row r="50" spans="1:4">
      <c r="A50" s="39" t="s">
        <v>202</v>
      </c>
    </row>
    <row r="51" spans="1:4">
      <c r="A51" t="s">
        <v>147</v>
      </c>
      <c r="B51" t="s">
        <v>205</v>
      </c>
      <c r="D51">
        <v>0.8599</v>
      </c>
    </row>
    <row r="52" spans="1:4">
      <c r="A52" t="s">
        <v>145</v>
      </c>
      <c r="B52" s="66" t="s">
        <v>202</v>
      </c>
    </row>
    <row r="54" spans="1:4">
      <c r="B54" s="148" t="s">
        <v>202</v>
      </c>
      <c r="C54" s="182" t="s">
        <v>210</v>
      </c>
      <c r="D54" s="26" t="s">
        <v>286</v>
      </c>
    </row>
    <row r="55" spans="1:4">
      <c r="A55" t="s">
        <v>214</v>
      </c>
      <c r="B55" s="65">
        <v>1</v>
      </c>
      <c r="C55" s="60">
        <v>0.1</v>
      </c>
      <c r="D55">
        <f>$D$51*LN(B55)</f>
        <v>0</v>
      </c>
    </row>
    <row r="56" spans="1:4">
      <c r="A56" t="s">
        <v>218</v>
      </c>
      <c r="B56">
        <v>100000</v>
      </c>
      <c r="C56">
        <v>10</v>
      </c>
      <c r="D56">
        <f>$D$51*LN(B56)</f>
        <v>9.8999646073278988</v>
      </c>
    </row>
    <row r="77" spans="1:4">
      <c r="A77" s="39" t="s">
        <v>203</v>
      </c>
    </row>
    <row r="78" spans="1:4">
      <c r="A78" t="s">
        <v>147</v>
      </c>
      <c r="B78" t="s">
        <v>205</v>
      </c>
      <c r="D78">
        <v>0.9</v>
      </c>
    </row>
    <row r="79" spans="1:4">
      <c r="A79" t="s">
        <v>145</v>
      </c>
      <c r="B79" s="66" t="s">
        <v>203</v>
      </c>
    </row>
    <row r="81" spans="1:4">
      <c r="B81" s="148" t="s">
        <v>203</v>
      </c>
      <c r="C81" s="182" t="s">
        <v>210</v>
      </c>
      <c r="D81" s="26" t="s">
        <v>286</v>
      </c>
    </row>
    <row r="82" spans="1:4">
      <c r="A82" t="s">
        <v>214</v>
      </c>
      <c r="B82" s="65">
        <v>1</v>
      </c>
      <c r="C82" s="60">
        <v>0.1</v>
      </c>
      <c r="D82">
        <f>$D$78*LN(B82)</f>
        <v>0</v>
      </c>
    </row>
    <row r="83" spans="1:4">
      <c r="A83" t="s">
        <v>218</v>
      </c>
      <c r="B83">
        <v>50000</v>
      </c>
      <c r="C83">
        <v>10</v>
      </c>
      <c r="D83">
        <f>$D$78*LN(B83)</f>
        <v>9.7378004559692553</v>
      </c>
    </row>
    <row r="85" spans="1:4">
      <c r="D85" s="84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Übersicht</vt:lpstr>
      <vt:lpstr>I. techn. Bewertung</vt:lpstr>
      <vt:lpstr>II. wirtschaftliche Bewertung</vt:lpstr>
      <vt:lpstr>III. Domainbewertung</vt:lpstr>
      <vt:lpstr>III. Beispiele zu F.8</vt:lpstr>
      <vt:lpstr>III. Wertberechnung</vt:lpstr>
      <vt:lpstr>a. User-Fkt.</vt:lpstr>
      <vt:lpstr>a. onpage-Fkt.</vt:lpstr>
      <vt:lpstr>a. Backlinks-Fkt.</vt:lpstr>
      <vt:lpstr>a. Alter-Fkt.</vt:lpstr>
      <vt:lpstr>CC Value-Fkt.</vt:lpstr>
      <vt:lpstr>c. User-Rot.-Fkt.</vt:lpstr>
      <vt:lpstr>b. User-Umsatz-Fkt.</vt:lpstr>
      <vt:lpstr>Sistrix-Fkt.</vt:lpstr>
    </vt:vector>
  </TitlesOfParts>
  <Company>Clever Clogs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Gründerlexikon</dc:creator>
  <cp:lastModifiedBy>User</cp:lastModifiedBy>
  <cp:lastPrinted>2017-03-15T11:08:38Z</cp:lastPrinted>
  <dcterms:created xsi:type="dcterms:W3CDTF">2017-03-08T08:51:12Z</dcterms:created>
  <dcterms:modified xsi:type="dcterms:W3CDTF">2019-03-22T09:39:52Z</dcterms:modified>
</cp:coreProperties>
</file>